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rip\Downloads\"/>
    </mc:Choice>
  </mc:AlternateContent>
  <bookViews>
    <workbookView xWindow="-120" yWindow="-120" windowWidth="29040" windowHeight="18240" tabRatio="703"/>
  </bookViews>
  <sheets>
    <sheet name="Overview" sheetId="2" r:id="rId1"/>
    <sheet name="Net eco benefits - Appendix 3" sheetId="21" r:id="rId2"/>
    <sheet name="Net eco benefits - Credible opt" sheetId="22" r:id="rId3"/>
    <sheet name="Results" sheetId="16" r:id="rId4"/>
    <sheet name="FCAS benefits" sheetId="1" r:id="rId5"/>
    <sheet name="Project costs" sheetId="4" r:id="rId6"/>
    <sheet name="Option 1" sheetId="5" r:id="rId7"/>
    <sheet name="Option 2" sheetId="17" r:id="rId8"/>
    <sheet name="Option 3" sheetId="18" r:id="rId9"/>
    <sheet name="Option 4" sheetId="20" r:id="rId10"/>
  </sheets>
  <externalReferences>
    <externalReference r:id="rId11"/>
    <externalReference r:id="rId12"/>
  </externalReferences>
  <definedNames>
    <definedName name="_Ref24456989" localSheetId="3">Results!$B$55</definedName>
    <definedName name="CaseNames">[1]Macro!$D$3:$D$16</definedName>
    <definedName name="NotSlowWACC" localSheetId="7">'Option 2'!$B$3</definedName>
    <definedName name="NotSlowWACC" localSheetId="8">'Option 3'!$B$3</definedName>
    <definedName name="NotSlowWACC" localSheetId="9">'Option 4'!$B$3</definedName>
    <definedName name="NotSlowWACC">'Option 1'!$B$3</definedName>
    <definedName name="SlowWACC" localSheetId="7">'Option 2'!$B$4</definedName>
    <definedName name="SlowWACC" localSheetId="8">'Option 3'!$B$4</definedName>
    <definedName name="SlowWACC" localSheetId="9">'Option 4'!$B$4</definedName>
    <definedName name="SlowWACC">'Option 1'!$B$4</definedName>
    <definedName name="StartYear">[2]Macro!$B$27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4" l="1"/>
  <c r="O8" i="4"/>
  <c r="O10" i="4"/>
  <c r="O9" i="4"/>
  <c r="Q10" i="4"/>
  <c r="Q9" i="4"/>
  <c r="R8" i="4"/>
  <c r="Q8" i="4"/>
  <c r="R7" i="4" l="1"/>
  <c r="Q7" i="4"/>
  <c r="P7" i="4"/>
  <c r="O7" i="4"/>
  <c r="A2" i="20" l="1"/>
  <c r="A36" i="20" s="1"/>
  <c r="A150" i="20" s="1"/>
  <c r="K99" i="20"/>
  <c r="K98" i="20"/>
  <c r="L98" i="20" s="1"/>
  <c r="M98" i="20" s="1"/>
  <c r="N98" i="20" s="1"/>
  <c r="O98" i="20" s="1"/>
  <c r="P98" i="20" s="1"/>
  <c r="Q98" i="20" s="1"/>
  <c r="R98" i="20" s="1"/>
  <c r="S98" i="20" s="1"/>
  <c r="T98" i="20" s="1"/>
  <c r="U98" i="20" s="1"/>
  <c r="V98" i="20" s="1"/>
  <c r="W98" i="20" s="1"/>
  <c r="X98" i="20" s="1"/>
  <c r="Y98" i="20" s="1"/>
  <c r="Z98" i="20" s="1"/>
  <c r="AA98" i="20" s="1"/>
  <c r="AB98" i="20" s="1"/>
  <c r="AC98" i="20" s="1"/>
  <c r="AD98" i="20" s="1"/>
  <c r="AE98" i="20" s="1"/>
  <c r="K93" i="20"/>
  <c r="K92" i="20"/>
  <c r="I96" i="20"/>
  <c r="J96" i="20" s="1"/>
  <c r="K96" i="20" s="1"/>
  <c r="L96" i="20" s="1"/>
  <c r="M96" i="20" s="1"/>
  <c r="N96" i="20" s="1"/>
  <c r="O96" i="20" s="1"/>
  <c r="P96" i="20" s="1"/>
  <c r="Q96" i="20" s="1"/>
  <c r="R96" i="20" s="1"/>
  <c r="S96" i="20" s="1"/>
  <c r="T96" i="20" s="1"/>
  <c r="U96" i="20" s="1"/>
  <c r="V96" i="20" s="1"/>
  <c r="W96" i="20" s="1"/>
  <c r="X96" i="20" s="1"/>
  <c r="Y96" i="20" s="1"/>
  <c r="Z96" i="20" s="1"/>
  <c r="AA96" i="20" s="1"/>
  <c r="AB96" i="20" s="1"/>
  <c r="AC96" i="20" s="1"/>
  <c r="AD96" i="20" s="1"/>
  <c r="AE96" i="20" s="1"/>
  <c r="I95" i="20"/>
  <c r="J95" i="20" s="1"/>
  <c r="I90" i="20"/>
  <c r="I89" i="20"/>
  <c r="A177" i="20"/>
  <c r="A164" i="20"/>
  <c r="A151" i="20"/>
  <c r="AD144" i="20"/>
  <c r="AC144" i="20"/>
  <c r="AB144" i="20"/>
  <c r="AA144" i="20"/>
  <c r="Z144" i="20"/>
  <c r="Y144" i="20"/>
  <c r="X144" i="20"/>
  <c r="W144" i="20"/>
  <c r="V144" i="20"/>
  <c r="U144" i="20"/>
  <c r="T144" i="20"/>
  <c r="S144" i="20"/>
  <c r="R144" i="20"/>
  <c r="Q144" i="20"/>
  <c r="P144" i="20"/>
  <c r="O144" i="20"/>
  <c r="N144" i="20"/>
  <c r="M144" i="20"/>
  <c r="L144" i="20"/>
  <c r="K144" i="20"/>
  <c r="J144" i="20"/>
  <c r="I144" i="20"/>
  <c r="H144" i="20"/>
  <c r="G144" i="20"/>
  <c r="F144" i="20"/>
  <c r="E144" i="20"/>
  <c r="D144" i="20"/>
  <c r="C144" i="20"/>
  <c r="B144" i="20"/>
  <c r="A133" i="20"/>
  <c r="AD126" i="20"/>
  <c r="AC126" i="20"/>
  <c r="AB126" i="20"/>
  <c r="AA126" i="20"/>
  <c r="Z126" i="20"/>
  <c r="Y126" i="20"/>
  <c r="X126" i="20"/>
  <c r="W126" i="20"/>
  <c r="V126" i="20"/>
  <c r="U126" i="20"/>
  <c r="T126" i="20"/>
  <c r="S126" i="20"/>
  <c r="R126" i="20"/>
  <c r="Q126" i="20"/>
  <c r="P126" i="20"/>
  <c r="O126" i="20"/>
  <c r="N126" i="20"/>
  <c r="M126" i="20"/>
  <c r="L126" i="20"/>
  <c r="K126" i="20"/>
  <c r="J126" i="20"/>
  <c r="I126" i="20"/>
  <c r="H126" i="20"/>
  <c r="G126" i="20"/>
  <c r="F126" i="20"/>
  <c r="E126" i="20"/>
  <c r="D126" i="20"/>
  <c r="C126" i="20"/>
  <c r="B126" i="20"/>
  <c r="A115" i="20"/>
  <c r="H100" i="20"/>
  <c r="G100" i="20"/>
  <c r="F100" i="20"/>
  <c r="E100" i="20"/>
  <c r="D100" i="20"/>
  <c r="C100" i="20"/>
  <c r="B100" i="20"/>
  <c r="L99" i="20"/>
  <c r="M99" i="20" s="1"/>
  <c r="N99" i="20" s="1"/>
  <c r="O99" i="20" s="1"/>
  <c r="P99" i="20" s="1"/>
  <c r="Q99" i="20" s="1"/>
  <c r="R99" i="20" s="1"/>
  <c r="S99" i="20" s="1"/>
  <c r="T99" i="20" s="1"/>
  <c r="U99" i="20" s="1"/>
  <c r="V99" i="20" s="1"/>
  <c r="W99" i="20" s="1"/>
  <c r="X99" i="20" s="1"/>
  <c r="Y99" i="20" s="1"/>
  <c r="Z99" i="20" s="1"/>
  <c r="AA99" i="20" s="1"/>
  <c r="AB99" i="20" s="1"/>
  <c r="AC99" i="20" s="1"/>
  <c r="AD99" i="20" s="1"/>
  <c r="AE99" i="20" s="1"/>
  <c r="A85" i="20"/>
  <c r="B73" i="20"/>
  <c r="R71" i="20"/>
  <c r="R87" i="20" s="1"/>
  <c r="R117" i="20" s="1"/>
  <c r="R135" i="20" s="1"/>
  <c r="R153" i="20" s="1"/>
  <c r="R166" i="20" s="1"/>
  <c r="R179" i="20" s="1"/>
  <c r="D71" i="20"/>
  <c r="D87" i="20" s="1"/>
  <c r="D117" i="20" s="1"/>
  <c r="D135" i="20" s="1"/>
  <c r="D153" i="20" s="1"/>
  <c r="D166" i="20" s="1"/>
  <c r="D179" i="20" s="1"/>
  <c r="B70" i="20"/>
  <c r="D68" i="20"/>
  <c r="E68" i="20" s="1"/>
  <c r="F68" i="20" s="1"/>
  <c r="G68" i="20" s="1"/>
  <c r="H68" i="20" s="1"/>
  <c r="I68" i="20" s="1"/>
  <c r="J68" i="20" s="1"/>
  <c r="K68" i="20" s="1"/>
  <c r="L68" i="20" s="1"/>
  <c r="M68" i="20" s="1"/>
  <c r="N68" i="20" s="1"/>
  <c r="O68" i="20" s="1"/>
  <c r="P68" i="20" s="1"/>
  <c r="Q68" i="20" s="1"/>
  <c r="R68" i="20" s="1"/>
  <c r="S68" i="20" s="1"/>
  <c r="T68" i="20" s="1"/>
  <c r="U68" i="20" s="1"/>
  <c r="V68" i="20" s="1"/>
  <c r="W68" i="20" s="1"/>
  <c r="X68" i="20" s="1"/>
  <c r="Y68" i="20" s="1"/>
  <c r="Z68" i="20" s="1"/>
  <c r="AA68" i="20" s="1"/>
  <c r="AB68" i="20" s="1"/>
  <c r="AC68" i="20" s="1"/>
  <c r="AD68" i="20" s="1"/>
  <c r="AE68" i="20" s="1"/>
  <c r="C68" i="20"/>
  <c r="B67" i="20"/>
  <c r="F108" i="20" s="1"/>
  <c r="B58" i="20"/>
  <c r="A57" i="20"/>
  <c r="A72" i="20" s="1"/>
  <c r="N56" i="20"/>
  <c r="N71" i="20" s="1"/>
  <c r="N87" i="20" s="1"/>
  <c r="N117" i="20" s="1"/>
  <c r="N135" i="20" s="1"/>
  <c r="N153" i="20" s="1"/>
  <c r="N166" i="20" s="1"/>
  <c r="N179" i="20" s="1"/>
  <c r="L56" i="20"/>
  <c r="L71" i="20" s="1"/>
  <c r="L87" i="20" s="1"/>
  <c r="L117" i="20" s="1"/>
  <c r="L135" i="20" s="1"/>
  <c r="L153" i="20" s="1"/>
  <c r="L166" i="20" s="1"/>
  <c r="L179" i="20" s="1"/>
  <c r="E53" i="20"/>
  <c r="F53" i="20" s="1"/>
  <c r="G53" i="20" s="1"/>
  <c r="H53" i="20" s="1"/>
  <c r="I53" i="20" s="1"/>
  <c r="J53" i="20" s="1"/>
  <c r="K53" i="20" s="1"/>
  <c r="L53" i="20" s="1"/>
  <c r="M53" i="20" s="1"/>
  <c r="N53" i="20" s="1"/>
  <c r="O53" i="20" s="1"/>
  <c r="P53" i="20" s="1"/>
  <c r="Q53" i="20" s="1"/>
  <c r="R53" i="20" s="1"/>
  <c r="S53" i="20" s="1"/>
  <c r="T53" i="20" s="1"/>
  <c r="U53" i="20" s="1"/>
  <c r="V53" i="20" s="1"/>
  <c r="W53" i="20" s="1"/>
  <c r="X53" i="20" s="1"/>
  <c r="Y53" i="20" s="1"/>
  <c r="Z53" i="20" s="1"/>
  <c r="AA53" i="20" s="1"/>
  <c r="AB53" i="20" s="1"/>
  <c r="AC53" i="20" s="1"/>
  <c r="AD53" i="20" s="1"/>
  <c r="AE53" i="20" s="1"/>
  <c r="D53" i="20"/>
  <c r="C53" i="20"/>
  <c r="B52" i="20"/>
  <c r="H44" i="20"/>
  <c r="B44" i="20"/>
  <c r="B59" i="20" s="1"/>
  <c r="B60" i="20" s="1"/>
  <c r="B168" i="20" s="1"/>
  <c r="B170" i="20" s="1"/>
  <c r="B43" i="20"/>
  <c r="AD41" i="20"/>
  <c r="AD56" i="20" s="1"/>
  <c r="AD71" i="20" s="1"/>
  <c r="AD87" i="20" s="1"/>
  <c r="AD117" i="20" s="1"/>
  <c r="AD135" i="20" s="1"/>
  <c r="AD153" i="20" s="1"/>
  <c r="AD166" i="20" s="1"/>
  <c r="AD179" i="20" s="1"/>
  <c r="AC41" i="20"/>
  <c r="AC56" i="20" s="1"/>
  <c r="AC71" i="20" s="1"/>
  <c r="AC87" i="20" s="1"/>
  <c r="AC117" i="20" s="1"/>
  <c r="AC135" i="20" s="1"/>
  <c r="AC153" i="20" s="1"/>
  <c r="AC166" i="20" s="1"/>
  <c r="AC179" i="20" s="1"/>
  <c r="S41" i="20"/>
  <c r="S56" i="20" s="1"/>
  <c r="S71" i="20" s="1"/>
  <c r="S87" i="20" s="1"/>
  <c r="S117" i="20" s="1"/>
  <c r="S135" i="20" s="1"/>
  <c r="S153" i="20" s="1"/>
  <c r="S166" i="20" s="1"/>
  <c r="S179" i="20" s="1"/>
  <c r="M41" i="20"/>
  <c r="M56" i="20" s="1"/>
  <c r="M71" i="20" s="1"/>
  <c r="M87" i="20" s="1"/>
  <c r="M117" i="20" s="1"/>
  <c r="M135" i="20" s="1"/>
  <c r="M153" i="20" s="1"/>
  <c r="M166" i="20" s="1"/>
  <c r="M179" i="20" s="1"/>
  <c r="E41" i="20"/>
  <c r="E56" i="20" s="1"/>
  <c r="E71" i="20" s="1"/>
  <c r="E87" i="20" s="1"/>
  <c r="E117" i="20" s="1"/>
  <c r="E135" i="20" s="1"/>
  <c r="E153" i="20" s="1"/>
  <c r="E166" i="20" s="1"/>
  <c r="E179" i="20" s="1"/>
  <c r="D40" i="20"/>
  <c r="C40" i="20"/>
  <c r="C55" i="20" s="1"/>
  <c r="C70" i="20" s="1"/>
  <c r="G38" i="20"/>
  <c r="H38" i="20" s="1"/>
  <c r="I38" i="20" s="1"/>
  <c r="J38" i="20" s="1"/>
  <c r="K38" i="20" s="1"/>
  <c r="L38" i="20" s="1"/>
  <c r="M38" i="20" s="1"/>
  <c r="N38" i="20" s="1"/>
  <c r="O38" i="20" s="1"/>
  <c r="P38" i="20" s="1"/>
  <c r="Q38" i="20" s="1"/>
  <c r="R38" i="20" s="1"/>
  <c r="S38" i="20" s="1"/>
  <c r="T38" i="20" s="1"/>
  <c r="U38" i="20" s="1"/>
  <c r="V38" i="20" s="1"/>
  <c r="W38" i="20" s="1"/>
  <c r="X38" i="20" s="1"/>
  <c r="Y38" i="20" s="1"/>
  <c r="Z38" i="20" s="1"/>
  <c r="AA38" i="20" s="1"/>
  <c r="AB38" i="20" s="1"/>
  <c r="AC38" i="20" s="1"/>
  <c r="AD38" i="20" s="1"/>
  <c r="AE38" i="20" s="1"/>
  <c r="C38" i="20"/>
  <c r="D38" i="20" s="1"/>
  <c r="E38" i="20" s="1"/>
  <c r="F38" i="20" s="1"/>
  <c r="B37" i="20"/>
  <c r="AD29" i="20"/>
  <c r="AC29" i="20"/>
  <c r="Y29" i="20"/>
  <c r="U29" i="20"/>
  <c r="Q29" i="20"/>
  <c r="N29" i="20"/>
  <c r="N44" i="20" s="1"/>
  <c r="M29" i="20"/>
  <c r="I29" i="20"/>
  <c r="H29" i="20"/>
  <c r="G29" i="20"/>
  <c r="G44" i="20" s="1"/>
  <c r="F29" i="20"/>
  <c r="F44" i="20" s="1"/>
  <c r="E29" i="20"/>
  <c r="D29" i="20"/>
  <c r="D44" i="20" s="1"/>
  <c r="D59" i="20" s="1"/>
  <c r="C29" i="20"/>
  <c r="C44" i="20" s="1"/>
  <c r="C59" i="20" s="1"/>
  <c r="B29" i="20"/>
  <c r="B28" i="20"/>
  <c r="A27" i="20"/>
  <c r="A42" i="20" s="1"/>
  <c r="AE26" i="20"/>
  <c r="AE41" i="20" s="1"/>
  <c r="AE56" i="20" s="1"/>
  <c r="AE71" i="20" s="1"/>
  <c r="AE87" i="20" s="1"/>
  <c r="AE117" i="20" s="1"/>
  <c r="AE135" i="20" s="1"/>
  <c r="AE153" i="20" s="1"/>
  <c r="AE166" i="20" s="1"/>
  <c r="AE179" i="20" s="1"/>
  <c r="AD26" i="20"/>
  <c r="AC26" i="20"/>
  <c r="AB26" i="20"/>
  <c r="AB41" i="20" s="1"/>
  <c r="AB56" i="20" s="1"/>
  <c r="AB71" i="20" s="1"/>
  <c r="AB87" i="20" s="1"/>
  <c r="AB117" i="20" s="1"/>
  <c r="AB135" i="20" s="1"/>
  <c r="AB153" i="20" s="1"/>
  <c r="AB166" i="20" s="1"/>
  <c r="AB179" i="20" s="1"/>
  <c r="AA26" i="20"/>
  <c r="AA41" i="20" s="1"/>
  <c r="AA56" i="20" s="1"/>
  <c r="AA71" i="20" s="1"/>
  <c r="AA87" i="20" s="1"/>
  <c r="AA117" i="20" s="1"/>
  <c r="AA135" i="20" s="1"/>
  <c r="AA153" i="20" s="1"/>
  <c r="AA166" i="20" s="1"/>
  <c r="AA179" i="20" s="1"/>
  <c r="Z26" i="20"/>
  <c r="Z41" i="20" s="1"/>
  <c r="Z56" i="20" s="1"/>
  <c r="Z71" i="20" s="1"/>
  <c r="Z87" i="20" s="1"/>
  <c r="Z117" i="20" s="1"/>
  <c r="Z135" i="20" s="1"/>
  <c r="Z153" i="20" s="1"/>
  <c r="Z166" i="20" s="1"/>
  <c r="Z179" i="20" s="1"/>
  <c r="Y26" i="20"/>
  <c r="Y41" i="20" s="1"/>
  <c r="Y56" i="20" s="1"/>
  <c r="Y71" i="20" s="1"/>
  <c r="Y87" i="20" s="1"/>
  <c r="Y117" i="20" s="1"/>
  <c r="Y135" i="20" s="1"/>
  <c r="Y153" i="20" s="1"/>
  <c r="Y166" i="20" s="1"/>
  <c r="Y179" i="20" s="1"/>
  <c r="X26" i="20"/>
  <c r="X41" i="20" s="1"/>
  <c r="X56" i="20" s="1"/>
  <c r="X71" i="20" s="1"/>
  <c r="X87" i="20" s="1"/>
  <c r="X117" i="20" s="1"/>
  <c r="X135" i="20" s="1"/>
  <c r="X153" i="20" s="1"/>
  <c r="X166" i="20" s="1"/>
  <c r="X179" i="20" s="1"/>
  <c r="W26" i="20"/>
  <c r="W41" i="20" s="1"/>
  <c r="W56" i="20" s="1"/>
  <c r="W71" i="20" s="1"/>
  <c r="W87" i="20" s="1"/>
  <c r="W117" i="20" s="1"/>
  <c r="W135" i="20" s="1"/>
  <c r="W153" i="20" s="1"/>
  <c r="W166" i="20" s="1"/>
  <c r="W179" i="20" s="1"/>
  <c r="V26" i="20"/>
  <c r="V41" i="20" s="1"/>
  <c r="V56" i="20" s="1"/>
  <c r="V71" i="20" s="1"/>
  <c r="V87" i="20" s="1"/>
  <c r="V117" i="20" s="1"/>
  <c r="V135" i="20" s="1"/>
  <c r="V153" i="20" s="1"/>
  <c r="V166" i="20" s="1"/>
  <c r="V179" i="20" s="1"/>
  <c r="U26" i="20"/>
  <c r="U41" i="20" s="1"/>
  <c r="U56" i="20" s="1"/>
  <c r="U71" i="20" s="1"/>
  <c r="U87" i="20" s="1"/>
  <c r="U117" i="20" s="1"/>
  <c r="U135" i="20" s="1"/>
  <c r="U153" i="20" s="1"/>
  <c r="U166" i="20" s="1"/>
  <c r="U179" i="20" s="1"/>
  <c r="T26" i="20"/>
  <c r="T41" i="20" s="1"/>
  <c r="T56" i="20" s="1"/>
  <c r="T71" i="20" s="1"/>
  <c r="T87" i="20" s="1"/>
  <c r="T117" i="20" s="1"/>
  <c r="T135" i="20" s="1"/>
  <c r="T153" i="20" s="1"/>
  <c r="T166" i="20" s="1"/>
  <c r="T179" i="20" s="1"/>
  <c r="S26" i="20"/>
  <c r="R26" i="20"/>
  <c r="R41" i="20" s="1"/>
  <c r="R56" i="20" s="1"/>
  <c r="Q26" i="20"/>
  <c r="Q41" i="20" s="1"/>
  <c r="Q56" i="20" s="1"/>
  <c r="Q71" i="20" s="1"/>
  <c r="Q87" i="20" s="1"/>
  <c r="Q117" i="20" s="1"/>
  <c r="Q135" i="20" s="1"/>
  <c r="Q153" i="20" s="1"/>
  <c r="Q166" i="20" s="1"/>
  <c r="Q179" i="20" s="1"/>
  <c r="P26" i="20"/>
  <c r="P41" i="20" s="1"/>
  <c r="P56" i="20" s="1"/>
  <c r="P71" i="20" s="1"/>
  <c r="P87" i="20" s="1"/>
  <c r="P117" i="20" s="1"/>
  <c r="P135" i="20" s="1"/>
  <c r="P153" i="20" s="1"/>
  <c r="P166" i="20" s="1"/>
  <c r="P179" i="20" s="1"/>
  <c r="O26" i="20"/>
  <c r="O41" i="20" s="1"/>
  <c r="O56" i="20" s="1"/>
  <c r="O71" i="20" s="1"/>
  <c r="O87" i="20" s="1"/>
  <c r="O117" i="20" s="1"/>
  <c r="O135" i="20" s="1"/>
  <c r="O153" i="20" s="1"/>
  <c r="O166" i="20" s="1"/>
  <c r="O179" i="20" s="1"/>
  <c r="N26" i="20"/>
  <c r="N41" i="20" s="1"/>
  <c r="M26" i="20"/>
  <c r="L26" i="20"/>
  <c r="L41" i="20" s="1"/>
  <c r="K26" i="20"/>
  <c r="K41" i="20" s="1"/>
  <c r="K56" i="20" s="1"/>
  <c r="K71" i="20" s="1"/>
  <c r="K87" i="20" s="1"/>
  <c r="K117" i="20" s="1"/>
  <c r="K135" i="20" s="1"/>
  <c r="K153" i="20" s="1"/>
  <c r="K166" i="20" s="1"/>
  <c r="K179" i="20" s="1"/>
  <c r="J26" i="20"/>
  <c r="J41" i="20" s="1"/>
  <c r="J56" i="20" s="1"/>
  <c r="J71" i="20" s="1"/>
  <c r="J87" i="20" s="1"/>
  <c r="J117" i="20" s="1"/>
  <c r="J135" i="20" s="1"/>
  <c r="J153" i="20" s="1"/>
  <c r="J166" i="20" s="1"/>
  <c r="J179" i="20" s="1"/>
  <c r="I26" i="20"/>
  <c r="I41" i="20" s="1"/>
  <c r="I56" i="20" s="1"/>
  <c r="I71" i="20" s="1"/>
  <c r="I87" i="20" s="1"/>
  <c r="I117" i="20" s="1"/>
  <c r="I135" i="20" s="1"/>
  <c r="I153" i="20" s="1"/>
  <c r="I166" i="20" s="1"/>
  <c r="I179" i="20" s="1"/>
  <c r="H26" i="20"/>
  <c r="H41" i="20" s="1"/>
  <c r="H56" i="20" s="1"/>
  <c r="H71" i="20" s="1"/>
  <c r="H87" i="20" s="1"/>
  <c r="H117" i="20" s="1"/>
  <c r="H135" i="20" s="1"/>
  <c r="H153" i="20" s="1"/>
  <c r="H166" i="20" s="1"/>
  <c r="H179" i="20" s="1"/>
  <c r="G26" i="20"/>
  <c r="G41" i="20" s="1"/>
  <c r="G56" i="20" s="1"/>
  <c r="G71" i="20" s="1"/>
  <c r="G87" i="20" s="1"/>
  <c r="G117" i="20" s="1"/>
  <c r="G135" i="20" s="1"/>
  <c r="G153" i="20" s="1"/>
  <c r="G166" i="20" s="1"/>
  <c r="G179" i="20" s="1"/>
  <c r="F26" i="20"/>
  <c r="F41" i="20" s="1"/>
  <c r="F56" i="20" s="1"/>
  <c r="F71" i="20" s="1"/>
  <c r="F87" i="20" s="1"/>
  <c r="F117" i="20" s="1"/>
  <c r="F135" i="20" s="1"/>
  <c r="F153" i="20" s="1"/>
  <c r="F166" i="20" s="1"/>
  <c r="F179" i="20" s="1"/>
  <c r="E26" i="20"/>
  <c r="D26" i="20"/>
  <c r="D41" i="20" s="1"/>
  <c r="D56" i="20" s="1"/>
  <c r="C26" i="20"/>
  <c r="C41" i="20" s="1"/>
  <c r="C56" i="20" s="1"/>
  <c r="C71" i="20" s="1"/>
  <c r="C87" i="20" s="1"/>
  <c r="C117" i="20" s="1"/>
  <c r="C135" i="20" s="1"/>
  <c r="C153" i="20" s="1"/>
  <c r="C166" i="20" s="1"/>
  <c r="C179" i="20" s="1"/>
  <c r="B26" i="20"/>
  <c r="B41" i="20" s="1"/>
  <c r="B56" i="20" s="1"/>
  <c r="B71" i="20" s="1"/>
  <c r="B87" i="20" s="1"/>
  <c r="B117" i="20" s="1"/>
  <c r="B135" i="20" s="1"/>
  <c r="B153" i="20" s="1"/>
  <c r="B166" i="20" s="1"/>
  <c r="B179" i="20" s="1"/>
  <c r="B25" i="20"/>
  <c r="B40" i="20" s="1"/>
  <c r="B55" i="20" s="1"/>
  <c r="D23" i="20"/>
  <c r="E23" i="20" s="1"/>
  <c r="F23" i="20" s="1"/>
  <c r="G23" i="20" s="1"/>
  <c r="H23" i="20" s="1"/>
  <c r="I23" i="20" s="1"/>
  <c r="J23" i="20" s="1"/>
  <c r="K23" i="20" s="1"/>
  <c r="L23" i="20" s="1"/>
  <c r="M23" i="20" s="1"/>
  <c r="N23" i="20" s="1"/>
  <c r="O23" i="20" s="1"/>
  <c r="P23" i="20" s="1"/>
  <c r="Q23" i="20" s="1"/>
  <c r="R23" i="20" s="1"/>
  <c r="S23" i="20" s="1"/>
  <c r="T23" i="20" s="1"/>
  <c r="U23" i="20" s="1"/>
  <c r="V23" i="20" s="1"/>
  <c r="W23" i="20" s="1"/>
  <c r="X23" i="20" s="1"/>
  <c r="Y23" i="20" s="1"/>
  <c r="Z23" i="20" s="1"/>
  <c r="AA23" i="20" s="1"/>
  <c r="AB23" i="20" s="1"/>
  <c r="AC23" i="20" s="1"/>
  <c r="AD23" i="20" s="1"/>
  <c r="AE23" i="20" s="1"/>
  <c r="C23" i="20"/>
  <c r="B22" i="20"/>
  <c r="B15" i="20"/>
  <c r="B119" i="20" s="1"/>
  <c r="B121" i="20" s="1"/>
  <c r="AE14" i="20"/>
  <c r="AD14" i="20"/>
  <c r="AC14" i="20"/>
  <c r="AB14" i="20"/>
  <c r="AB29" i="20" s="1"/>
  <c r="AA14" i="20"/>
  <c r="AA29" i="20" s="1"/>
  <c r="AA44" i="20" s="1"/>
  <c r="AA59" i="20" s="1"/>
  <c r="Z14" i="20"/>
  <c r="Z29" i="20" s="1"/>
  <c r="Y14" i="20"/>
  <c r="X14" i="20"/>
  <c r="X29" i="20" s="1"/>
  <c r="X44" i="20" s="1"/>
  <c r="W14" i="20"/>
  <c r="V14" i="20"/>
  <c r="V29" i="20" s="1"/>
  <c r="U14" i="20"/>
  <c r="T14" i="20"/>
  <c r="S14" i="20"/>
  <c r="S29" i="20" s="1"/>
  <c r="S44" i="20" s="1"/>
  <c r="S59" i="20" s="1"/>
  <c r="R14" i="20"/>
  <c r="Q14" i="20"/>
  <c r="P14" i="20"/>
  <c r="P29" i="20" s="1"/>
  <c r="P44" i="20" s="1"/>
  <c r="O14" i="20"/>
  <c r="N14" i="20"/>
  <c r="M14" i="20"/>
  <c r="L14" i="20"/>
  <c r="K14" i="20"/>
  <c r="K29" i="20" s="1"/>
  <c r="K44" i="20" s="1"/>
  <c r="K59" i="20" s="1"/>
  <c r="J14" i="20"/>
  <c r="J29" i="20" s="1"/>
  <c r="I14" i="20"/>
  <c r="B13" i="20"/>
  <c r="D10" i="20"/>
  <c r="D25" i="20" s="1"/>
  <c r="C10" i="20"/>
  <c r="C25" i="20" s="1"/>
  <c r="E8" i="20"/>
  <c r="F8" i="20" s="1"/>
  <c r="G8" i="20" s="1"/>
  <c r="H8" i="20" s="1"/>
  <c r="I8" i="20" s="1"/>
  <c r="J8" i="20" s="1"/>
  <c r="K8" i="20" s="1"/>
  <c r="L8" i="20" s="1"/>
  <c r="M8" i="20" s="1"/>
  <c r="N8" i="20" s="1"/>
  <c r="O8" i="20" s="1"/>
  <c r="P8" i="20" s="1"/>
  <c r="Q8" i="20" s="1"/>
  <c r="R8" i="20" s="1"/>
  <c r="S8" i="20" s="1"/>
  <c r="T8" i="20" s="1"/>
  <c r="U8" i="20" s="1"/>
  <c r="V8" i="20" s="1"/>
  <c r="W8" i="20" s="1"/>
  <c r="X8" i="20" s="1"/>
  <c r="Y8" i="20" s="1"/>
  <c r="Z8" i="20" s="1"/>
  <c r="AA8" i="20" s="1"/>
  <c r="AB8" i="20" s="1"/>
  <c r="AC8" i="20" s="1"/>
  <c r="AD8" i="20" s="1"/>
  <c r="AE8" i="20" s="1"/>
  <c r="C8" i="20"/>
  <c r="D8" i="20" s="1"/>
  <c r="B7" i="20"/>
  <c r="B115" i="20" s="1"/>
  <c r="B4" i="20"/>
  <c r="B3" i="20"/>
  <c r="K99" i="18"/>
  <c r="K98" i="18"/>
  <c r="C39" i="20" l="1"/>
  <c r="C43" i="20" s="1"/>
  <c r="C45" i="20" s="1"/>
  <c r="C155" i="20" s="1"/>
  <c r="C157" i="20" s="1"/>
  <c r="AE143" i="20"/>
  <c r="AE142" i="20"/>
  <c r="C9" i="20"/>
  <c r="C13" i="20" s="1"/>
  <c r="C15" i="20" s="1"/>
  <c r="C119" i="20" s="1"/>
  <c r="C121" i="20" s="1"/>
  <c r="AE125" i="20"/>
  <c r="AE124" i="20"/>
  <c r="I100" i="20"/>
  <c r="J100" i="20"/>
  <c r="K95" i="20"/>
  <c r="L95" i="20" s="1"/>
  <c r="M95" i="20" s="1"/>
  <c r="V44" i="20"/>
  <c r="N59" i="20"/>
  <c r="P59" i="20"/>
  <c r="F59" i="20"/>
  <c r="S74" i="20"/>
  <c r="AB44" i="20"/>
  <c r="J44" i="20"/>
  <c r="Z44" i="20"/>
  <c r="R29" i="20"/>
  <c r="AD44" i="20"/>
  <c r="D9" i="20"/>
  <c r="D13" i="20" s="1"/>
  <c r="D15" i="20" s="1"/>
  <c r="D119" i="20" s="1"/>
  <c r="D121" i="20" s="1"/>
  <c r="T29" i="20"/>
  <c r="B133" i="20"/>
  <c r="C108" i="20"/>
  <c r="A66" i="20"/>
  <c r="A176" i="20" s="1"/>
  <c r="A51" i="20"/>
  <c r="A163" i="20" s="1"/>
  <c r="A21" i="20"/>
  <c r="A132" i="20" s="1"/>
  <c r="U44" i="20"/>
  <c r="B151" i="20"/>
  <c r="D108" i="20"/>
  <c r="C54" i="20"/>
  <c r="C58" i="20" s="1"/>
  <c r="C60" i="20" s="1"/>
  <c r="C168" i="20" s="1"/>
  <c r="C170" i="20" s="1"/>
  <c r="C69" i="20"/>
  <c r="C73" i="20" s="1"/>
  <c r="D24" i="20"/>
  <c r="D28" i="20" s="1"/>
  <c r="D30" i="20" s="1"/>
  <c r="D137" i="20" s="1"/>
  <c r="D139" i="20" s="1"/>
  <c r="D39" i="20"/>
  <c r="D43" i="20" s="1"/>
  <c r="D45" i="20" s="1"/>
  <c r="D155" i="20" s="1"/>
  <c r="D157" i="20" s="1"/>
  <c r="E10" i="20"/>
  <c r="O29" i="20"/>
  <c r="W29" i="20"/>
  <c r="AE29" i="20"/>
  <c r="C24" i="20"/>
  <c r="C28" i="20" s="1"/>
  <c r="C30" i="20" s="1"/>
  <c r="C137" i="20" s="1"/>
  <c r="C139" i="20" s="1"/>
  <c r="B30" i="20"/>
  <c r="B74" i="20"/>
  <c r="B75" i="20" s="1"/>
  <c r="B181" i="20" s="1"/>
  <c r="B183" i="20" s="1"/>
  <c r="C74" i="20"/>
  <c r="L29" i="20"/>
  <c r="Y44" i="20"/>
  <c r="H59" i="20"/>
  <c r="X59" i="20"/>
  <c r="A6" i="20"/>
  <c r="D74" i="20"/>
  <c r="M44" i="20"/>
  <c r="I44" i="20"/>
  <c r="B45" i="20"/>
  <c r="B155" i="20" s="1"/>
  <c r="B157" i="20" s="1"/>
  <c r="E44" i="20"/>
  <c r="E40" i="20"/>
  <c r="E39" i="20" s="1"/>
  <c r="E43" i="20" s="1"/>
  <c r="D55" i="20"/>
  <c r="D70" i="20" s="1"/>
  <c r="D69" i="20" s="1"/>
  <c r="D73" i="20" s="1"/>
  <c r="K74" i="20"/>
  <c r="AA74" i="20"/>
  <c r="Q44" i="20"/>
  <c r="AC44" i="20"/>
  <c r="E108" i="20"/>
  <c r="B164" i="20"/>
  <c r="G59" i="20"/>
  <c r="B177" i="20"/>
  <c r="AE101" i="20"/>
  <c r="K93" i="18"/>
  <c r="K92" i="18"/>
  <c r="I96" i="18"/>
  <c r="J96" i="18" s="1"/>
  <c r="K96" i="18" s="1"/>
  <c r="L96" i="18" s="1"/>
  <c r="M96" i="18" s="1"/>
  <c r="N96" i="18" s="1"/>
  <c r="O96" i="18" s="1"/>
  <c r="P96" i="18" s="1"/>
  <c r="Q96" i="18" s="1"/>
  <c r="R96" i="18" s="1"/>
  <c r="S96" i="18" s="1"/>
  <c r="T96" i="18" s="1"/>
  <c r="U96" i="18" s="1"/>
  <c r="V96" i="18" s="1"/>
  <c r="W96" i="18" s="1"/>
  <c r="X96" i="18" s="1"/>
  <c r="Y96" i="18" s="1"/>
  <c r="Z96" i="18" s="1"/>
  <c r="AA96" i="18" s="1"/>
  <c r="AB96" i="18" s="1"/>
  <c r="AC96" i="18" s="1"/>
  <c r="AD96" i="18" s="1"/>
  <c r="AE96" i="18" s="1"/>
  <c r="I95" i="18"/>
  <c r="J95" i="18" s="1"/>
  <c r="K95" i="18" s="1"/>
  <c r="L95" i="18" s="1"/>
  <c r="I90" i="18"/>
  <c r="I89" i="18"/>
  <c r="A2" i="18"/>
  <c r="A177" i="18"/>
  <c r="A164" i="18"/>
  <c r="A151" i="18"/>
  <c r="AD144" i="18"/>
  <c r="AC144" i="18"/>
  <c r="AB144" i="18"/>
  <c r="AA144" i="18"/>
  <c r="Z144" i="18"/>
  <c r="Y144" i="18"/>
  <c r="X144" i="18"/>
  <c r="W144" i="18"/>
  <c r="V144" i="18"/>
  <c r="U144" i="18"/>
  <c r="T144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C144" i="18"/>
  <c r="B144" i="18"/>
  <c r="A133" i="18"/>
  <c r="AD126" i="18"/>
  <c r="AC126" i="18"/>
  <c r="AB126" i="18"/>
  <c r="AA126" i="18"/>
  <c r="Z126" i="18"/>
  <c r="Y126" i="18"/>
  <c r="X126" i="18"/>
  <c r="W126" i="18"/>
  <c r="V126" i="18"/>
  <c r="U126" i="18"/>
  <c r="T126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F126" i="18"/>
  <c r="E126" i="18"/>
  <c r="D126" i="18"/>
  <c r="C126" i="18"/>
  <c r="B126" i="18"/>
  <c r="A115" i="18"/>
  <c r="H100" i="18"/>
  <c r="G100" i="18"/>
  <c r="F100" i="18"/>
  <c r="E100" i="18"/>
  <c r="D100" i="18"/>
  <c r="C100" i="18"/>
  <c r="B100" i="18"/>
  <c r="A85" i="18"/>
  <c r="B73" i="18"/>
  <c r="AB68" i="18"/>
  <c r="AC68" i="18" s="1"/>
  <c r="AD68" i="18" s="1"/>
  <c r="AE68" i="18" s="1"/>
  <c r="L68" i="18"/>
  <c r="M68" i="18" s="1"/>
  <c r="N68" i="18" s="1"/>
  <c r="O68" i="18" s="1"/>
  <c r="P68" i="18" s="1"/>
  <c r="Q68" i="18" s="1"/>
  <c r="R68" i="18" s="1"/>
  <c r="S68" i="18" s="1"/>
  <c r="T68" i="18" s="1"/>
  <c r="U68" i="18" s="1"/>
  <c r="V68" i="18" s="1"/>
  <c r="W68" i="18" s="1"/>
  <c r="X68" i="18" s="1"/>
  <c r="Y68" i="18" s="1"/>
  <c r="Z68" i="18" s="1"/>
  <c r="AA68" i="18" s="1"/>
  <c r="D68" i="18"/>
  <c r="E68" i="18" s="1"/>
  <c r="F68" i="18" s="1"/>
  <c r="G68" i="18" s="1"/>
  <c r="H68" i="18" s="1"/>
  <c r="I68" i="18" s="1"/>
  <c r="J68" i="18" s="1"/>
  <c r="K68" i="18" s="1"/>
  <c r="C68" i="18"/>
  <c r="B67" i="18"/>
  <c r="B58" i="18"/>
  <c r="C53" i="18"/>
  <c r="D53" i="18" s="1"/>
  <c r="E53" i="18" s="1"/>
  <c r="F53" i="18" s="1"/>
  <c r="G53" i="18" s="1"/>
  <c r="H53" i="18" s="1"/>
  <c r="I53" i="18" s="1"/>
  <c r="J53" i="18" s="1"/>
  <c r="K53" i="18" s="1"/>
  <c r="L53" i="18" s="1"/>
  <c r="M53" i="18" s="1"/>
  <c r="N53" i="18" s="1"/>
  <c r="O53" i="18" s="1"/>
  <c r="P53" i="18" s="1"/>
  <c r="Q53" i="18" s="1"/>
  <c r="R53" i="18" s="1"/>
  <c r="S53" i="18" s="1"/>
  <c r="T53" i="18" s="1"/>
  <c r="U53" i="18" s="1"/>
  <c r="V53" i="18" s="1"/>
  <c r="W53" i="18" s="1"/>
  <c r="X53" i="18" s="1"/>
  <c r="Y53" i="18" s="1"/>
  <c r="Z53" i="18" s="1"/>
  <c r="AA53" i="18" s="1"/>
  <c r="AB53" i="18" s="1"/>
  <c r="AC53" i="18" s="1"/>
  <c r="AD53" i="18" s="1"/>
  <c r="AE53" i="18" s="1"/>
  <c r="B52" i="18"/>
  <c r="E108" i="18" s="1"/>
  <c r="B43" i="18"/>
  <c r="D38" i="18"/>
  <c r="E38" i="18" s="1"/>
  <c r="F38" i="18" s="1"/>
  <c r="G38" i="18" s="1"/>
  <c r="H38" i="18" s="1"/>
  <c r="I38" i="18" s="1"/>
  <c r="J38" i="18" s="1"/>
  <c r="K38" i="18" s="1"/>
  <c r="L38" i="18" s="1"/>
  <c r="M38" i="18" s="1"/>
  <c r="N38" i="18" s="1"/>
  <c r="O38" i="18" s="1"/>
  <c r="P38" i="18" s="1"/>
  <c r="Q38" i="18" s="1"/>
  <c r="R38" i="18" s="1"/>
  <c r="S38" i="18" s="1"/>
  <c r="T38" i="18" s="1"/>
  <c r="U38" i="18" s="1"/>
  <c r="V38" i="18" s="1"/>
  <c r="W38" i="18" s="1"/>
  <c r="X38" i="18" s="1"/>
  <c r="Y38" i="18" s="1"/>
  <c r="Z38" i="18" s="1"/>
  <c r="AA38" i="18" s="1"/>
  <c r="AB38" i="18" s="1"/>
  <c r="AC38" i="18" s="1"/>
  <c r="AD38" i="18" s="1"/>
  <c r="AE38" i="18" s="1"/>
  <c r="C38" i="18"/>
  <c r="B37" i="18"/>
  <c r="H29" i="18"/>
  <c r="H44" i="18" s="1"/>
  <c r="G29" i="18"/>
  <c r="G44" i="18" s="1"/>
  <c r="G59" i="18" s="1"/>
  <c r="F29" i="18"/>
  <c r="E29" i="18"/>
  <c r="E44" i="18" s="1"/>
  <c r="D29" i="18"/>
  <c r="D44" i="18" s="1"/>
  <c r="C29" i="18"/>
  <c r="C44" i="18" s="1"/>
  <c r="C59" i="18" s="1"/>
  <c r="B29" i="18"/>
  <c r="B44" i="18" s="1"/>
  <c r="B28" i="18"/>
  <c r="B30" i="18" s="1"/>
  <c r="B137" i="18" s="1"/>
  <c r="B139" i="18" s="1"/>
  <c r="A27" i="18"/>
  <c r="A42" i="18" s="1"/>
  <c r="A57" i="18" s="1"/>
  <c r="A72" i="18" s="1"/>
  <c r="AE26" i="18"/>
  <c r="AE41" i="18" s="1"/>
  <c r="AE56" i="18" s="1"/>
  <c r="AE71" i="18" s="1"/>
  <c r="AE87" i="18" s="1"/>
  <c r="AE117" i="18" s="1"/>
  <c r="AE135" i="18" s="1"/>
  <c r="AE153" i="18" s="1"/>
  <c r="AE166" i="18" s="1"/>
  <c r="AE179" i="18" s="1"/>
  <c r="AD26" i="18"/>
  <c r="AD41" i="18" s="1"/>
  <c r="AD56" i="18" s="1"/>
  <c r="AD71" i="18" s="1"/>
  <c r="AD87" i="18" s="1"/>
  <c r="AD117" i="18" s="1"/>
  <c r="AD135" i="18" s="1"/>
  <c r="AD153" i="18" s="1"/>
  <c r="AD166" i="18" s="1"/>
  <c r="AD179" i="18" s="1"/>
  <c r="AC26" i="18"/>
  <c r="AC41" i="18" s="1"/>
  <c r="AC56" i="18" s="1"/>
  <c r="AC71" i="18" s="1"/>
  <c r="AC87" i="18" s="1"/>
  <c r="AC117" i="18" s="1"/>
  <c r="AC135" i="18" s="1"/>
  <c r="AC153" i="18" s="1"/>
  <c r="AC166" i="18" s="1"/>
  <c r="AC179" i="18" s="1"/>
  <c r="AB26" i="18"/>
  <c r="AB41" i="18" s="1"/>
  <c r="AB56" i="18" s="1"/>
  <c r="AB71" i="18" s="1"/>
  <c r="AB87" i="18" s="1"/>
  <c r="AB117" i="18" s="1"/>
  <c r="AB135" i="18" s="1"/>
  <c r="AB153" i="18" s="1"/>
  <c r="AB166" i="18" s="1"/>
  <c r="AB179" i="18" s="1"/>
  <c r="AA26" i="18"/>
  <c r="AA41" i="18" s="1"/>
  <c r="AA56" i="18" s="1"/>
  <c r="AA71" i="18" s="1"/>
  <c r="AA87" i="18" s="1"/>
  <c r="AA117" i="18" s="1"/>
  <c r="AA135" i="18" s="1"/>
  <c r="AA153" i="18" s="1"/>
  <c r="AA166" i="18" s="1"/>
  <c r="AA179" i="18" s="1"/>
  <c r="Z26" i="18"/>
  <c r="Z41" i="18" s="1"/>
  <c r="Z56" i="18" s="1"/>
  <c r="Z71" i="18" s="1"/>
  <c r="Z87" i="18" s="1"/>
  <c r="Z117" i="18" s="1"/>
  <c r="Z135" i="18" s="1"/>
  <c r="Z153" i="18" s="1"/>
  <c r="Z166" i="18" s="1"/>
  <c r="Z179" i="18" s="1"/>
  <c r="Y26" i="18"/>
  <c r="Y41" i="18" s="1"/>
  <c r="Y56" i="18" s="1"/>
  <c r="Y71" i="18" s="1"/>
  <c r="Y87" i="18" s="1"/>
  <c r="Y117" i="18" s="1"/>
  <c r="Y135" i="18" s="1"/>
  <c r="Y153" i="18" s="1"/>
  <c r="Y166" i="18" s="1"/>
  <c r="Y179" i="18" s="1"/>
  <c r="X26" i="18"/>
  <c r="X41" i="18" s="1"/>
  <c r="X56" i="18" s="1"/>
  <c r="X71" i="18" s="1"/>
  <c r="X87" i="18" s="1"/>
  <c r="X117" i="18" s="1"/>
  <c r="X135" i="18" s="1"/>
  <c r="X153" i="18" s="1"/>
  <c r="X166" i="18" s="1"/>
  <c r="X179" i="18" s="1"/>
  <c r="W26" i="18"/>
  <c r="W41" i="18" s="1"/>
  <c r="W56" i="18" s="1"/>
  <c r="W71" i="18" s="1"/>
  <c r="W87" i="18" s="1"/>
  <c r="W117" i="18" s="1"/>
  <c r="W135" i="18" s="1"/>
  <c r="W153" i="18" s="1"/>
  <c r="W166" i="18" s="1"/>
  <c r="W179" i="18" s="1"/>
  <c r="V26" i="18"/>
  <c r="V41" i="18" s="1"/>
  <c r="V56" i="18" s="1"/>
  <c r="V71" i="18" s="1"/>
  <c r="V87" i="18" s="1"/>
  <c r="V117" i="18" s="1"/>
  <c r="V135" i="18" s="1"/>
  <c r="V153" i="18" s="1"/>
  <c r="V166" i="18" s="1"/>
  <c r="V179" i="18" s="1"/>
  <c r="U26" i="18"/>
  <c r="U41" i="18" s="1"/>
  <c r="U56" i="18" s="1"/>
  <c r="U71" i="18" s="1"/>
  <c r="U87" i="18" s="1"/>
  <c r="U117" i="18" s="1"/>
  <c r="U135" i="18" s="1"/>
  <c r="U153" i="18" s="1"/>
  <c r="U166" i="18" s="1"/>
  <c r="U179" i="18" s="1"/>
  <c r="T26" i="18"/>
  <c r="T41" i="18" s="1"/>
  <c r="T56" i="18" s="1"/>
  <c r="T71" i="18" s="1"/>
  <c r="T87" i="18" s="1"/>
  <c r="T117" i="18" s="1"/>
  <c r="T135" i="18" s="1"/>
  <c r="T153" i="18" s="1"/>
  <c r="T166" i="18" s="1"/>
  <c r="T179" i="18" s="1"/>
  <c r="S26" i="18"/>
  <c r="S41" i="18" s="1"/>
  <c r="S56" i="18" s="1"/>
  <c r="S71" i="18" s="1"/>
  <c r="S87" i="18" s="1"/>
  <c r="S117" i="18" s="1"/>
  <c r="S135" i="18" s="1"/>
  <c r="S153" i="18" s="1"/>
  <c r="S166" i="18" s="1"/>
  <c r="S179" i="18" s="1"/>
  <c r="R26" i="18"/>
  <c r="R41" i="18" s="1"/>
  <c r="R56" i="18" s="1"/>
  <c r="R71" i="18" s="1"/>
  <c r="R87" i="18" s="1"/>
  <c r="R117" i="18" s="1"/>
  <c r="R135" i="18" s="1"/>
  <c r="R153" i="18" s="1"/>
  <c r="R166" i="18" s="1"/>
  <c r="R179" i="18" s="1"/>
  <c r="Q26" i="18"/>
  <c r="Q41" i="18" s="1"/>
  <c r="Q56" i="18" s="1"/>
  <c r="Q71" i="18" s="1"/>
  <c r="Q87" i="18" s="1"/>
  <c r="Q117" i="18" s="1"/>
  <c r="Q135" i="18" s="1"/>
  <c r="Q153" i="18" s="1"/>
  <c r="Q166" i="18" s="1"/>
  <c r="Q179" i="18" s="1"/>
  <c r="P26" i="18"/>
  <c r="P41" i="18" s="1"/>
  <c r="P56" i="18" s="1"/>
  <c r="P71" i="18" s="1"/>
  <c r="P87" i="18" s="1"/>
  <c r="P117" i="18" s="1"/>
  <c r="P135" i="18" s="1"/>
  <c r="P153" i="18" s="1"/>
  <c r="P166" i="18" s="1"/>
  <c r="P179" i="18" s="1"/>
  <c r="O26" i="18"/>
  <c r="O41" i="18" s="1"/>
  <c r="O56" i="18" s="1"/>
  <c r="O71" i="18" s="1"/>
  <c r="O87" i="18" s="1"/>
  <c r="O117" i="18" s="1"/>
  <c r="O135" i="18" s="1"/>
  <c r="O153" i="18" s="1"/>
  <c r="O166" i="18" s="1"/>
  <c r="O179" i="18" s="1"/>
  <c r="N26" i="18"/>
  <c r="N41" i="18" s="1"/>
  <c r="N56" i="18" s="1"/>
  <c r="N71" i="18" s="1"/>
  <c r="N87" i="18" s="1"/>
  <c r="N117" i="18" s="1"/>
  <c r="N135" i="18" s="1"/>
  <c r="N153" i="18" s="1"/>
  <c r="N166" i="18" s="1"/>
  <c r="N179" i="18" s="1"/>
  <c r="M26" i="18"/>
  <c r="M41" i="18" s="1"/>
  <c r="M56" i="18" s="1"/>
  <c r="M71" i="18" s="1"/>
  <c r="M87" i="18" s="1"/>
  <c r="M117" i="18" s="1"/>
  <c r="M135" i="18" s="1"/>
  <c r="M153" i="18" s="1"/>
  <c r="M166" i="18" s="1"/>
  <c r="M179" i="18" s="1"/>
  <c r="L26" i="18"/>
  <c r="L41" i="18" s="1"/>
  <c r="L56" i="18" s="1"/>
  <c r="L71" i="18" s="1"/>
  <c r="L87" i="18" s="1"/>
  <c r="L117" i="18" s="1"/>
  <c r="L135" i="18" s="1"/>
  <c r="L153" i="18" s="1"/>
  <c r="L166" i="18" s="1"/>
  <c r="L179" i="18" s="1"/>
  <c r="K26" i="18"/>
  <c r="K41" i="18" s="1"/>
  <c r="K56" i="18" s="1"/>
  <c r="K71" i="18" s="1"/>
  <c r="K87" i="18" s="1"/>
  <c r="K117" i="18" s="1"/>
  <c r="K135" i="18" s="1"/>
  <c r="K153" i="18" s="1"/>
  <c r="K166" i="18" s="1"/>
  <c r="K179" i="18" s="1"/>
  <c r="J26" i="18"/>
  <c r="J41" i="18" s="1"/>
  <c r="J56" i="18" s="1"/>
  <c r="J71" i="18" s="1"/>
  <c r="J87" i="18" s="1"/>
  <c r="J117" i="18" s="1"/>
  <c r="J135" i="18" s="1"/>
  <c r="J153" i="18" s="1"/>
  <c r="J166" i="18" s="1"/>
  <c r="J179" i="18" s="1"/>
  <c r="I26" i="18"/>
  <c r="I41" i="18" s="1"/>
  <c r="I56" i="18" s="1"/>
  <c r="I71" i="18" s="1"/>
  <c r="I87" i="18" s="1"/>
  <c r="I117" i="18" s="1"/>
  <c r="I135" i="18" s="1"/>
  <c r="I153" i="18" s="1"/>
  <c r="I166" i="18" s="1"/>
  <c r="I179" i="18" s="1"/>
  <c r="H26" i="18"/>
  <c r="H41" i="18" s="1"/>
  <c r="H56" i="18" s="1"/>
  <c r="H71" i="18" s="1"/>
  <c r="H87" i="18" s="1"/>
  <c r="H117" i="18" s="1"/>
  <c r="H135" i="18" s="1"/>
  <c r="H153" i="18" s="1"/>
  <c r="H166" i="18" s="1"/>
  <c r="H179" i="18" s="1"/>
  <c r="G26" i="18"/>
  <c r="G41" i="18" s="1"/>
  <c r="G56" i="18" s="1"/>
  <c r="G71" i="18" s="1"/>
  <c r="G87" i="18" s="1"/>
  <c r="G117" i="18" s="1"/>
  <c r="G135" i="18" s="1"/>
  <c r="G153" i="18" s="1"/>
  <c r="G166" i="18" s="1"/>
  <c r="G179" i="18" s="1"/>
  <c r="F26" i="18"/>
  <c r="F41" i="18" s="1"/>
  <c r="F56" i="18" s="1"/>
  <c r="F71" i="18" s="1"/>
  <c r="F87" i="18" s="1"/>
  <c r="F117" i="18" s="1"/>
  <c r="F135" i="18" s="1"/>
  <c r="F153" i="18" s="1"/>
  <c r="F166" i="18" s="1"/>
  <c r="F179" i="18" s="1"/>
  <c r="E26" i="18"/>
  <c r="E41" i="18" s="1"/>
  <c r="E56" i="18" s="1"/>
  <c r="E71" i="18" s="1"/>
  <c r="E87" i="18" s="1"/>
  <c r="E117" i="18" s="1"/>
  <c r="E135" i="18" s="1"/>
  <c r="E153" i="18" s="1"/>
  <c r="E166" i="18" s="1"/>
  <c r="E179" i="18" s="1"/>
  <c r="D26" i="18"/>
  <c r="D41" i="18" s="1"/>
  <c r="D56" i="18" s="1"/>
  <c r="D71" i="18" s="1"/>
  <c r="D87" i="18" s="1"/>
  <c r="D117" i="18" s="1"/>
  <c r="D135" i="18" s="1"/>
  <c r="D153" i="18" s="1"/>
  <c r="D166" i="18" s="1"/>
  <c r="D179" i="18" s="1"/>
  <c r="C26" i="18"/>
  <c r="C41" i="18" s="1"/>
  <c r="C56" i="18" s="1"/>
  <c r="C71" i="18" s="1"/>
  <c r="C87" i="18" s="1"/>
  <c r="C117" i="18" s="1"/>
  <c r="C135" i="18" s="1"/>
  <c r="C153" i="18" s="1"/>
  <c r="C166" i="18" s="1"/>
  <c r="C179" i="18" s="1"/>
  <c r="B26" i="18"/>
  <c r="B41" i="18" s="1"/>
  <c r="B56" i="18" s="1"/>
  <c r="B71" i="18" s="1"/>
  <c r="B87" i="18" s="1"/>
  <c r="B117" i="18" s="1"/>
  <c r="B135" i="18" s="1"/>
  <c r="B153" i="18" s="1"/>
  <c r="B166" i="18" s="1"/>
  <c r="B179" i="18" s="1"/>
  <c r="B25" i="18"/>
  <c r="B40" i="18" s="1"/>
  <c r="B55" i="18" s="1"/>
  <c r="B70" i="18" s="1"/>
  <c r="C23" i="18"/>
  <c r="D23" i="18" s="1"/>
  <c r="E23" i="18" s="1"/>
  <c r="F23" i="18" s="1"/>
  <c r="G23" i="18" s="1"/>
  <c r="H23" i="18" s="1"/>
  <c r="I23" i="18" s="1"/>
  <c r="J23" i="18" s="1"/>
  <c r="K23" i="18" s="1"/>
  <c r="L23" i="18" s="1"/>
  <c r="M23" i="18" s="1"/>
  <c r="N23" i="18" s="1"/>
  <c r="O23" i="18" s="1"/>
  <c r="P23" i="18" s="1"/>
  <c r="Q23" i="18" s="1"/>
  <c r="R23" i="18" s="1"/>
  <c r="S23" i="18" s="1"/>
  <c r="T23" i="18" s="1"/>
  <c r="U23" i="18" s="1"/>
  <c r="V23" i="18" s="1"/>
  <c r="W23" i="18" s="1"/>
  <c r="X23" i="18" s="1"/>
  <c r="Y23" i="18" s="1"/>
  <c r="Z23" i="18" s="1"/>
  <c r="AA23" i="18" s="1"/>
  <c r="AB23" i="18" s="1"/>
  <c r="AC23" i="18" s="1"/>
  <c r="AD23" i="18" s="1"/>
  <c r="AE23" i="18" s="1"/>
  <c r="B22" i="18"/>
  <c r="A21" i="18"/>
  <c r="A132" i="18" s="1"/>
  <c r="AE14" i="18"/>
  <c r="AE29" i="18" s="1"/>
  <c r="AE44" i="18" s="1"/>
  <c r="AE59" i="18" s="1"/>
  <c r="AD14" i="18"/>
  <c r="AD29" i="18" s="1"/>
  <c r="AC14" i="18"/>
  <c r="AC29" i="18" s="1"/>
  <c r="AB14" i="18"/>
  <c r="AB29" i="18" s="1"/>
  <c r="AA14" i="18"/>
  <c r="AA29" i="18" s="1"/>
  <c r="Z14" i="18"/>
  <c r="Z29" i="18" s="1"/>
  <c r="Y14" i="18"/>
  <c r="Y29" i="18" s="1"/>
  <c r="X14" i="18"/>
  <c r="X29" i="18" s="1"/>
  <c r="X44" i="18" s="1"/>
  <c r="W14" i="18"/>
  <c r="W29" i="18" s="1"/>
  <c r="W44" i="18" s="1"/>
  <c r="V14" i="18"/>
  <c r="V29" i="18" s="1"/>
  <c r="U14" i="18"/>
  <c r="T14" i="18"/>
  <c r="T29" i="18" s="1"/>
  <c r="S14" i="18"/>
  <c r="R14" i="18"/>
  <c r="R29" i="18" s="1"/>
  <c r="Q14" i="18"/>
  <c r="Q29" i="18" s="1"/>
  <c r="P14" i="18"/>
  <c r="P29" i="18" s="1"/>
  <c r="O14" i="18"/>
  <c r="O29" i="18" s="1"/>
  <c r="O44" i="18" s="1"/>
  <c r="N14" i="18"/>
  <c r="N29" i="18" s="1"/>
  <c r="M14" i="18"/>
  <c r="L14" i="18"/>
  <c r="L29" i="18" s="1"/>
  <c r="K14" i="18"/>
  <c r="J14" i="18"/>
  <c r="J29" i="18" s="1"/>
  <c r="I14" i="18"/>
  <c r="I29" i="18" s="1"/>
  <c r="B13" i="18"/>
  <c r="B15" i="18" s="1"/>
  <c r="B119" i="18" s="1"/>
  <c r="B121" i="18" s="1"/>
  <c r="C10" i="18"/>
  <c r="C25" i="18" s="1"/>
  <c r="E8" i="18"/>
  <c r="F8" i="18" s="1"/>
  <c r="G8" i="18" s="1"/>
  <c r="H8" i="18" s="1"/>
  <c r="I8" i="18" s="1"/>
  <c r="J8" i="18" s="1"/>
  <c r="K8" i="18" s="1"/>
  <c r="L8" i="18" s="1"/>
  <c r="M8" i="18" s="1"/>
  <c r="N8" i="18" s="1"/>
  <c r="O8" i="18" s="1"/>
  <c r="P8" i="18" s="1"/>
  <c r="Q8" i="18" s="1"/>
  <c r="R8" i="18" s="1"/>
  <c r="S8" i="18" s="1"/>
  <c r="T8" i="18" s="1"/>
  <c r="U8" i="18" s="1"/>
  <c r="V8" i="18" s="1"/>
  <c r="W8" i="18" s="1"/>
  <c r="X8" i="18" s="1"/>
  <c r="Y8" i="18" s="1"/>
  <c r="Z8" i="18" s="1"/>
  <c r="AA8" i="18" s="1"/>
  <c r="AB8" i="18" s="1"/>
  <c r="AC8" i="18" s="1"/>
  <c r="AD8" i="18" s="1"/>
  <c r="AE8" i="18" s="1"/>
  <c r="D8" i="18"/>
  <c r="C8" i="18"/>
  <c r="B7" i="18"/>
  <c r="B115" i="18" s="1"/>
  <c r="B4" i="18"/>
  <c r="B3" i="18"/>
  <c r="A6" i="18"/>
  <c r="I93" i="17"/>
  <c r="J93" i="17" s="1"/>
  <c r="K93" i="17" s="1"/>
  <c r="L93" i="17" s="1"/>
  <c r="M93" i="17" s="1"/>
  <c r="N93" i="17" s="1"/>
  <c r="O93" i="17" s="1"/>
  <c r="P93" i="17" s="1"/>
  <c r="Q93" i="17" s="1"/>
  <c r="R93" i="17" s="1"/>
  <c r="S93" i="17" s="1"/>
  <c r="T93" i="17" s="1"/>
  <c r="U93" i="17" s="1"/>
  <c r="V93" i="17" s="1"/>
  <c r="W93" i="17" s="1"/>
  <c r="X93" i="17" s="1"/>
  <c r="Y93" i="17" s="1"/>
  <c r="Z93" i="17" s="1"/>
  <c r="AA93" i="17" s="1"/>
  <c r="AB93" i="17" s="1"/>
  <c r="AC93" i="17" s="1"/>
  <c r="AD93" i="17" s="1"/>
  <c r="AE93" i="17" s="1"/>
  <c r="I92" i="17"/>
  <c r="J92" i="17" s="1"/>
  <c r="I90" i="17"/>
  <c r="I89" i="17"/>
  <c r="A2" i="17"/>
  <c r="A6" i="17" s="1"/>
  <c r="I93" i="5"/>
  <c r="I92" i="5"/>
  <c r="I90" i="5"/>
  <c r="I89" i="5"/>
  <c r="A171" i="17"/>
  <c r="A158" i="17"/>
  <c r="O147" i="17"/>
  <c r="O160" i="17" s="1"/>
  <c r="O173" i="17" s="1"/>
  <c r="A145" i="17"/>
  <c r="AD138" i="17"/>
  <c r="AC138" i="17"/>
  <c r="AB138" i="17"/>
  <c r="AA138" i="17"/>
  <c r="Z138" i="17"/>
  <c r="Y138" i="17"/>
  <c r="X138" i="17"/>
  <c r="W138" i="17"/>
  <c r="V138" i="17"/>
  <c r="U138" i="17"/>
  <c r="T138" i="17"/>
  <c r="S138" i="17"/>
  <c r="R138" i="17"/>
  <c r="Q138" i="17"/>
  <c r="P138" i="17"/>
  <c r="O138" i="17"/>
  <c r="N138" i="17"/>
  <c r="M138" i="17"/>
  <c r="L138" i="17"/>
  <c r="K138" i="17"/>
  <c r="J138" i="17"/>
  <c r="I138" i="17"/>
  <c r="H138" i="17"/>
  <c r="G138" i="17"/>
  <c r="F138" i="17"/>
  <c r="E138" i="17"/>
  <c r="D138" i="17"/>
  <c r="C138" i="17"/>
  <c r="B138" i="17"/>
  <c r="A127" i="17"/>
  <c r="AD120" i="17"/>
  <c r="AC120" i="17"/>
  <c r="AB120" i="17"/>
  <c r="AA120" i="17"/>
  <c r="Z120" i="17"/>
  <c r="Y120" i="17"/>
  <c r="X120" i="17"/>
  <c r="W120" i="17"/>
  <c r="V120" i="17"/>
  <c r="U120" i="17"/>
  <c r="T120" i="17"/>
  <c r="S120" i="17"/>
  <c r="R120" i="17"/>
  <c r="Q120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M111" i="17"/>
  <c r="M129" i="17" s="1"/>
  <c r="M147" i="17" s="1"/>
  <c r="M160" i="17" s="1"/>
  <c r="M173" i="17" s="1"/>
  <c r="A109" i="17"/>
  <c r="H94" i="17"/>
  <c r="G94" i="17"/>
  <c r="F94" i="17"/>
  <c r="E94" i="17"/>
  <c r="D94" i="17"/>
  <c r="C94" i="17"/>
  <c r="B94" i="17"/>
  <c r="A85" i="17"/>
  <c r="B73" i="17"/>
  <c r="AB71" i="17"/>
  <c r="AB87" i="17" s="1"/>
  <c r="AB111" i="17" s="1"/>
  <c r="AB129" i="17" s="1"/>
  <c r="AB147" i="17" s="1"/>
  <c r="AB160" i="17" s="1"/>
  <c r="AB173" i="17" s="1"/>
  <c r="P71" i="17"/>
  <c r="P87" i="17" s="1"/>
  <c r="P111" i="17" s="1"/>
  <c r="P129" i="17" s="1"/>
  <c r="P147" i="17" s="1"/>
  <c r="P160" i="17" s="1"/>
  <c r="P173" i="17" s="1"/>
  <c r="E71" i="17"/>
  <c r="E87" i="17" s="1"/>
  <c r="E111" i="17" s="1"/>
  <c r="E129" i="17" s="1"/>
  <c r="E147" i="17" s="1"/>
  <c r="E160" i="17" s="1"/>
  <c r="E173" i="17" s="1"/>
  <c r="D71" i="17"/>
  <c r="D87" i="17" s="1"/>
  <c r="D111" i="17" s="1"/>
  <c r="D129" i="17" s="1"/>
  <c r="D147" i="17" s="1"/>
  <c r="D160" i="17" s="1"/>
  <c r="D173" i="17" s="1"/>
  <c r="C68" i="17"/>
  <c r="D68" i="17" s="1"/>
  <c r="E68" i="17" s="1"/>
  <c r="F68" i="17" s="1"/>
  <c r="G68" i="17" s="1"/>
  <c r="H68" i="17" s="1"/>
  <c r="I68" i="17" s="1"/>
  <c r="J68" i="17" s="1"/>
  <c r="K68" i="17" s="1"/>
  <c r="L68" i="17" s="1"/>
  <c r="M68" i="17" s="1"/>
  <c r="N68" i="17" s="1"/>
  <c r="O68" i="17" s="1"/>
  <c r="P68" i="17" s="1"/>
  <c r="Q68" i="17" s="1"/>
  <c r="R68" i="17" s="1"/>
  <c r="S68" i="17" s="1"/>
  <c r="T68" i="17" s="1"/>
  <c r="U68" i="17" s="1"/>
  <c r="V68" i="17" s="1"/>
  <c r="W68" i="17" s="1"/>
  <c r="X68" i="17" s="1"/>
  <c r="Y68" i="17" s="1"/>
  <c r="Z68" i="17" s="1"/>
  <c r="AA68" i="17" s="1"/>
  <c r="AB68" i="17" s="1"/>
  <c r="AC68" i="17" s="1"/>
  <c r="AD68" i="17" s="1"/>
  <c r="AE68" i="17" s="1"/>
  <c r="B67" i="17"/>
  <c r="L59" i="17"/>
  <c r="L74" i="17" s="1"/>
  <c r="G59" i="17"/>
  <c r="B58" i="17"/>
  <c r="AC56" i="17"/>
  <c r="AC71" i="17" s="1"/>
  <c r="AC87" i="17" s="1"/>
  <c r="AC111" i="17" s="1"/>
  <c r="AC129" i="17" s="1"/>
  <c r="AC147" i="17" s="1"/>
  <c r="AC160" i="17" s="1"/>
  <c r="AC173" i="17" s="1"/>
  <c r="Y56" i="17"/>
  <c r="Y71" i="17" s="1"/>
  <c r="Y87" i="17" s="1"/>
  <c r="Y111" i="17" s="1"/>
  <c r="Y129" i="17" s="1"/>
  <c r="Y147" i="17" s="1"/>
  <c r="Y160" i="17" s="1"/>
  <c r="Y173" i="17" s="1"/>
  <c r="T56" i="17"/>
  <c r="T71" i="17" s="1"/>
  <c r="T87" i="17" s="1"/>
  <c r="T111" i="17" s="1"/>
  <c r="T129" i="17" s="1"/>
  <c r="T147" i="17" s="1"/>
  <c r="T160" i="17" s="1"/>
  <c r="T173" i="17" s="1"/>
  <c r="J56" i="17"/>
  <c r="J71" i="17" s="1"/>
  <c r="J87" i="17" s="1"/>
  <c r="J111" i="17" s="1"/>
  <c r="J129" i="17" s="1"/>
  <c r="J147" i="17" s="1"/>
  <c r="J160" i="17" s="1"/>
  <c r="J173" i="17" s="1"/>
  <c r="D56" i="17"/>
  <c r="E55" i="17"/>
  <c r="E70" i="17" s="1"/>
  <c r="C55" i="17"/>
  <c r="C70" i="17" s="1"/>
  <c r="B55" i="17"/>
  <c r="B70" i="17" s="1"/>
  <c r="D53" i="17"/>
  <c r="E53" i="17" s="1"/>
  <c r="F53" i="17" s="1"/>
  <c r="G53" i="17" s="1"/>
  <c r="H53" i="17" s="1"/>
  <c r="I53" i="17" s="1"/>
  <c r="J53" i="17" s="1"/>
  <c r="K53" i="17" s="1"/>
  <c r="L53" i="17" s="1"/>
  <c r="M53" i="17" s="1"/>
  <c r="N53" i="17" s="1"/>
  <c r="O53" i="17" s="1"/>
  <c r="P53" i="17" s="1"/>
  <c r="Q53" i="17" s="1"/>
  <c r="R53" i="17" s="1"/>
  <c r="S53" i="17" s="1"/>
  <c r="T53" i="17" s="1"/>
  <c r="U53" i="17" s="1"/>
  <c r="V53" i="17" s="1"/>
  <c r="W53" i="17" s="1"/>
  <c r="X53" i="17" s="1"/>
  <c r="Y53" i="17" s="1"/>
  <c r="Z53" i="17" s="1"/>
  <c r="AA53" i="17" s="1"/>
  <c r="AB53" i="17" s="1"/>
  <c r="AC53" i="17" s="1"/>
  <c r="AD53" i="17" s="1"/>
  <c r="AE53" i="17" s="1"/>
  <c r="C53" i="17"/>
  <c r="B52" i="17"/>
  <c r="AE44" i="17"/>
  <c r="W44" i="17"/>
  <c r="W59" i="17" s="1"/>
  <c r="O44" i="17"/>
  <c r="L44" i="17"/>
  <c r="G44" i="17"/>
  <c r="D44" i="17"/>
  <c r="B43" i="17"/>
  <c r="A42" i="17"/>
  <c r="A57" i="17" s="1"/>
  <c r="A72" i="17" s="1"/>
  <c r="AD41" i="17"/>
  <c r="AD56" i="17" s="1"/>
  <c r="AD71" i="17" s="1"/>
  <c r="AD87" i="17" s="1"/>
  <c r="AD111" i="17" s="1"/>
  <c r="AD129" i="17" s="1"/>
  <c r="AD147" i="17" s="1"/>
  <c r="AD160" i="17" s="1"/>
  <c r="AD173" i="17" s="1"/>
  <c r="AB41" i="17"/>
  <c r="AB56" i="17" s="1"/>
  <c r="X41" i="17"/>
  <c r="X56" i="17" s="1"/>
  <c r="X71" i="17" s="1"/>
  <c r="X87" i="17" s="1"/>
  <c r="X111" i="17" s="1"/>
  <c r="X129" i="17" s="1"/>
  <c r="X147" i="17" s="1"/>
  <c r="X160" i="17" s="1"/>
  <c r="X173" i="17" s="1"/>
  <c r="T41" i="17"/>
  <c r="R41" i="17"/>
  <c r="R56" i="17" s="1"/>
  <c r="R71" i="17" s="1"/>
  <c r="R87" i="17" s="1"/>
  <c r="R111" i="17" s="1"/>
  <c r="R129" i="17" s="1"/>
  <c r="R147" i="17" s="1"/>
  <c r="R160" i="17" s="1"/>
  <c r="R173" i="17" s="1"/>
  <c r="Q41" i="17"/>
  <c r="Q56" i="17" s="1"/>
  <c r="Q71" i="17" s="1"/>
  <c r="Q87" i="17" s="1"/>
  <c r="Q111" i="17" s="1"/>
  <c r="Q129" i="17" s="1"/>
  <c r="Q147" i="17" s="1"/>
  <c r="Q160" i="17" s="1"/>
  <c r="Q173" i="17" s="1"/>
  <c r="L41" i="17"/>
  <c r="L56" i="17" s="1"/>
  <c r="L71" i="17" s="1"/>
  <c r="L87" i="17" s="1"/>
  <c r="L111" i="17" s="1"/>
  <c r="L129" i="17" s="1"/>
  <c r="L147" i="17" s="1"/>
  <c r="L160" i="17" s="1"/>
  <c r="L173" i="17" s="1"/>
  <c r="J41" i="17"/>
  <c r="I41" i="17"/>
  <c r="I56" i="17" s="1"/>
  <c r="I71" i="17" s="1"/>
  <c r="I87" i="17" s="1"/>
  <c r="I111" i="17" s="1"/>
  <c r="I129" i="17" s="1"/>
  <c r="I147" i="17" s="1"/>
  <c r="I160" i="17" s="1"/>
  <c r="I173" i="17" s="1"/>
  <c r="D41" i="17"/>
  <c r="B41" i="17"/>
  <c r="B56" i="17" s="1"/>
  <c r="B71" i="17" s="1"/>
  <c r="B87" i="17" s="1"/>
  <c r="B111" i="17" s="1"/>
  <c r="B129" i="17" s="1"/>
  <c r="B147" i="17" s="1"/>
  <c r="B160" i="17" s="1"/>
  <c r="B173" i="17" s="1"/>
  <c r="F40" i="17"/>
  <c r="D40" i="17"/>
  <c r="E40" i="17" s="1"/>
  <c r="B40" i="17"/>
  <c r="C40" i="17" s="1"/>
  <c r="AA38" i="17"/>
  <c r="AB38" i="17" s="1"/>
  <c r="AC38" i="17" s="1"/>
  <c r="AD38" i="17" s="1"/>
  <c r="AE38" i="17" s="1"/>
  <c r="O38" i="17"/>
  <c r="P38" i="17" s="1"/>
  <c r="Q38" i="17" s="1"/>
  <c r="R38" i="17" s="1"/>
  <c r="S38" i="17" s="1"/>
  <c r="T38" i="17" s="1"/>
  <c r="U38" i="17" s="1"/>
  <c r="V38" i="17" s="1"/>
  <c r="W38" i="17" s="1"/>
  <c r="X38" i="17" s="1"/>
  <c r="Y38" i="17" s="1"/>
  <c r="Z38" i="17" s="1"/>
  <c r="C38" i="17"/>
  <c r="D38" i="17" s="1"/>
  <c r="E38" i="17" s="1"/>
  <c r="F38" i="17" s="1"/>
  <c r="G38" i="17" s="1"/>
  <c r="H38" i="17" s="1"/>
  <c r="I38" i="17" s="1"/>
  <c r="J38" i="17" s="1"/>
  <c r="K38" i="17" s="1"/>
  <c r="L38" i="17" s="1"/>
  <c r="M38" i="17" s="1"/>
  <c r="N38" i="17" s="1"/>
  <c r="B37" i="17"/>
  <c r="B145" i="17" s="1"/>
  <c r="AB29" i="17"/>
  <c r="AB44" i="17" s="1"/>
  <c r="Y29" i="17"/>
  <c r="U29" i="17"/>
  <c r="U44" i="17" s="1"/>
  <c r="T29" i="17"/>
  <c r="P29" i="17"/>
  <c r="P44" i="17" s="1"/>
  <c r="L29" i="17"/>
  <c r="H29" i="17"/>
  <c r="H44" i="17" s="1"/>
  <c r="G29" i="17"/>
  <c r="F29" i="17"/>
  <c r="E29" i="17"/>
  <c r="E44" i="17" s="1"/>
  <c r="D29" i="17"/>
  <c r="C29" i="17"/>
  <c r="B29" i="17"/>
  <c r="B44" i="17" s="1"/>
  <c r="B28" i="17"/>
  <c r="A27" i="17"/>
  <c r="AE26" i="17"/>
  <c r="AE41" i="17" s="1"/>
  <c r="AE56" i="17" s="1"/>
  <c r="AE71" i="17" s="1"/>
  <c r="AE87" i="17" s="1"/>
  <c r="AE111" i="17" s="1"/>
  <c r="AE129" i="17" s="1"/>
  <c r="AE147" i="17" s="1"/>
  <c r="AE160" i="17" s="1"/>
  <c r="AE173" i="17" s="1"/>
  <c r="AD26" i="17"/>
  <c r="AC26" i="17"/>
  <c r="AC41" i="17" s="1"/>
  <c r="AB26" i="17"/>
  <c r="AA26" i="17"/>
  <c r="AA41" i="17" s="1"/>
  <c r="AA56" i="17" s="1"/>
  <c r="AA71" i="17" s="1"/>
  <c r="AA87" i="17" s="1"/>
  <c r="AA111" i="17" s="1"/>
  <c r="AA129" i="17" s="1"/>
  <c r="AA147" i="17" s="1"/>
  <c r="AA160" i="17" s="1"/>
  <c r="AA173" i="17" s="1"/>
  <c r="Z26" i="17"/>
  <c r="Z41" i="17" s="1"/>
  <c r="Z56" i="17" s="1"/>
  <c r="Z71" i="17" s="1"/>
  <c r="Z87" i="17" s="1"/>
  <c r="Z111" i="17" s="1"/>
  <c r="Z129" i="17" s="1"/>
  <c r="Z147" i="17" s="1"/>
  <c r="Z160" i="17" s="1"/>
  <c r="Z173" i="17" s="1"/>
  <c r="Y26" i="17"/>
  <c r="Y41" i="17" s="1"/>
  <c r="X26" i="17"/>
  <c r="W26" i="17"/>
  <c r="W41" i="17" s="1"/>
  <c r="W56" i="17" s="1"/>
  <c r="W71" i="17" s="1"/>
  <c r="W87" i="17" s="1"/>
  <c r="W111" i="17" s="1"/>
  <c r="W129" i="17" s="1"/>
  <c r="W147" i="17" s="1"/>
  <c r="W160" i="17" s="1"/>
  <c r="W173" i="17" s="1"/>
  <c r="V26" i="17"/>
  <c r="V41" i="17" s="1"/>
  <c r="V56" i="17" s="1"/>
  <c r="V71" i="17" s="1"/>
  <c r="V87" i="17" s="1"/>
  <c r="V111" i="17" s="1"/>
  <c r="V129" i="17" s="1"/>
  <c r="V147" i="17" s="1"/>
  <c r="V160" i="17" s="1"/>
  <c r="V173" i="17" s="1"/>
  <c r="U26" i="17"/>
  <c r="U41" i="17" s="1"/>
  <c r="U56" i="17" s="1"/>
  <c r="U71" i="17" s="1"/>
  <c r="U87" i="17" s="1"/>
  <c r="U111" i="17" s="1"/>
  <c r="U129" i="17" s="1"/>
  <c r="U147" i="17" s="1"/>
  <c r="U160" i="17" s="1"/>
  <c r="U173" i="17" s="1"/>
  <c r="T26" i="17"/>
  <c r="S26" i="17"/>
  <c r="S41" i="17" s="1"/>
  <c r="S56" i="17" s="1"/>
  <c r="S71" i="17" s="1"/>
  <c r="S87" i="17" s="1"/>
  <c r="S111" i="17" s="1"/>
  <c r="S129" i="17" s="1"/>
  <c r="S147" i="17" s="1"/>
  <c r="S160" i="17" s="1"/>
  <c r="S173" i="17" s="1"/>
  <c r="R26" i="17"/>
  <c r="Q26" i="17"/>
  <c r="P26" i="17"/>
  <c r="P41" i="17" s="1"/>
  <c r="P56" i="17" s="1"/>
  <c r="O26" i="17"/>
  <c r="O41" i="17" s="1"/>
  <c r="O56" i="17" s="1"/>
  <c r="O71" i="17" s="1"/>
  <c r="O87" i="17" s="1"/>
  <c r="O111" i="17" s="1"/>
  <c r="O129" i="17" s="1"/>
  <c r="N26" i="17"/>
  <c r="N41" i="17" s="1"/>
  <c r="N56" i="17" s="1"/>
  <c r="N71" i="17" s="1"/>
  <c r="N87" i="17" s="1"/>
  <c r="N111" i="17" s="1"/>
  <c r="N129" i="17" s="1"/>
  <c r="N147" i="17" s="1"/>
  <c r="N160" i="17" s="1"/>
  <c r="N173" i="17" s="1"/>
  <c r="M26" i="17"/>
  <c r="M41" i="17" s="1"/>
  <c r="M56" i="17" s="1"/>
  <c r="M71" i="17" s="1"/>
  <c r="M87" i="17" s="1"/>
  <c r="L26" i="17"/>
  <c r="K26" i="17"/>
  <c r="K41" i="17" s="1"/>
  <c r="K56" i="17" s="1"/>
  <c r="K71" i="17" s="1"/>
  <c r="K87" i="17" s="1"/>
  <c r="K111" i="17" s="1"/>
  <c r="K129" i="17" s="1"/>
  <c r="K147" i="17" s="1"/>
  <c r="K160" i="17" s="1"/>
  <c r="K173" i="17" s="1"/>
  <c r="J26" i="17"/>
  <c r="I26" i="17"/>
  <c r="H26" i="17"/>
  <c r="H41" i="17" s="1"/>
  <c r="H56" i="17" s="1"/>
  <c r="H71" i="17" s="1"/>
  <c r="H87" i="17" s="1"/>
  <c r="H111" i="17" s="1"/>
  <c r="H129" i="17" s="1"/>
  <c r="H147" i="17" s="1"/>
  <c r="H160" i="17" s="1"/>
  <c r="H173" i="17" s="1"/>
  <c r="G26" i="17"/>
  <c r="G41" i="17" s="1"/>
  <c r="G56" i="17" s="1"/>
  <c r="G71" i="17" s="1"/>
  <c r="G87" i="17" s="1"/>
  <c r="G111" i="17" s="1"/>
  <c r="G129" i="17" s="1"/>
  <c r="G147" i="17" s="1"/>
  <c r="G160" i="17" s="1"/>
  <c r="G173" i="17" s="1"/>
  <c r="F26" i="17"/>
  <c r="F41" i="17" s="1"/>
  <c r="F56" i="17" s="1"/>
  <c r="F71" i="17" s="1"/>
  <c r="F87" i="17" s="1"/>
  <c r="F111" i="17" s="1"/>
  <c r="F129" i="17" s="1"/>
  <c r="F147" i="17" s="1"/>
  <c r="F160" i="17" s="1"/>
  <c r="F173" i="17" s="1"/>
  <c r="E26" i="17"/>
  <c r="E41" i="17" s="1"/>
  <c r="E56" i="17" s="1"/>
  <c r="D26" i="17"/>
  <c r="C26" i="17"/>
  <c r="C41" i="17" s="1"/>
  <c r="C56" i="17" s="1"/>
  <c r="C71" i="17" s="1"/>
  <c r="C87" i="17" s="1"/>
  <c r="C111" i="17" s="1"/>
  <c r="C129" i="17" s="1"/>
  <c r="C147" i="17" s="1"/>
  <c r="C160" i="17" s="1"/>
  <c r="C173" i="17" s="1"/>
  <c r="B26" i="17"/>
  <c r="B25" i="17"/>
  <c r="D23" i="17"/>
  <c r="E23" i="17" s="1"/>
  <c r="F23" i="17" s="1"/>
  <c r="G23" i="17" s="1"/>
  <c r="H23" i="17" s="1"/>
  <c r="I23" i="17" s="1"/>
  <c r="J23" i="17" s="1"/>
  <c r="K23" i="17" s="1"/>
  <c r="L23" i="17" s="1"/>
  <c r="M23" i="17" s="1"/>
  <c r="N23" i="17" s="1"/>
  <c r="O23" i="17" s="1"/>
  <c r="P23" i="17" s="1"/>
  <c r="Q23" i="17" s="1"/>
  <c r="R23" i="17" s="1"/>
  <c r="S23" i="17" s="1"/>
  <c r="T23" i="17" s="1"/>
  <c r="U23" i="17" s="1"/>
  <c r="V23" i="17" s="1"/>
  <c r="W23" i="17" s="1"/>
  <c r="X23" i="17" s="1"/>
  <c r="Y23" i="17" s="1"/>
  <c r="Z23" i="17" s="1"/>
  <c r="AA23" i="17" s="1"/>
  <c r="AB23" i="17" s="1"/>
  <c r="AC23" i="17" s="1"/>
  <c r="AD23" i="17" s="1"/>
  <c r="AE23" i="17" s="1"/>
  <c r="C23" i="17"/>
  <c r="B22" i="17"/>
  <c r="B15" i="17"/>
  <c r="B113" i="17" s="1"/>
  <c r="B115" i="17" s="1"/>
  <c r="AE14" i="17"/>
  <c r="AE29" i="17" s="1"/>
  <c r="AD14" i="17"/>
  <c r="AC14" i="17"/>
  <c r="AC29" i="17" s="1"/>
  <c r="AB14" i="17"/>
  <c r="AA14" i="17"/>
  <c r="AA29" i="17" s="1"/>
  <c r="AA44" i="17" s="1"/>
  <c r="Z14" i="17"/>
  <c r="Y14" i="17"/>
  <c r="X14" i="17"/>
  <c r="X29" i="17" s="1"/>
  <c r="W14" i="17"/>
  <c r="W29" i="17" s="1"/>
  <c r="V14" i="17"/>
  <c r="U14" i="17"/>
  <c r="T14" i="17"/>
  <c r="S14" i="17"/>
  <c r="S29" i="17" s="1"/>
  <c r="R14" i="17"/>
  <c r="R29" i="17" s="1"/>
  <c r="Q14" i="17"/>
  <c r="P14" i="17"/>
  <c r="O14" i="17"/>
  <c r="O29" i="17" s="1"/>
  <c r="N14" i="17"/>
  <c r="M14" i="17"/>
  <c r="M29" i="17" s="1"/>
  <c r="L14" i="17"/>
  <c r="K14" i="17"/>
  <c r="K29" i="17" s="1"/>
  <c r="J14" i="17"/>
  <c r="I14" i="17"/>
  <c r="I29" i="17" s="1"/>
  <c r="B13" i="17"/>
  <c r="C10" i="17"/>
  <c r="L8" i="17"/>
  <c r="M8" i="17" s="1"/>
  <c r="N8" i="17" s="1"/>
  <c r="O8" i="17" s="1"/>
  <c r="P8" i="17" s="1"/>
  <c r="Q8" i="17" s="1"/>
  <c r="R8" i="17" s="1"/>
  <c r="S8" i="17" s="1"/>
  <c r="T8" i="17" s="1"/>
  <c r="U8" i="17" s="1"/>
  <c r="V8" i="17" s="1"/>
  <c r="W8" i="17" s="1"/>
  <c r="X8" i="17" s="1"/>
  <c r="Y8" i="17" s="1"/>
  <c r="Z8" i="17" s="1"/>
  <c r="AA8" i="17" s="1"/>
  <c r="AB8" i="17" s="1"/>
  <c r="AC8" i="17" s="1"/>
  <c r="AD8" i="17" s="1"/>
  <c r="AE8" i="17" s="1"/>
  <c r="H8" i="17"/>
  <c r="I8" i="17" s="1"/>
  <c r="J8" i="17" s="1"/>
  <c r="K8" i="17" s="1"/>
  <c r="D8" i="17"/>
  <c r="E8" i="17" s="1"/>
  <c r="F8" i="17" s="1"/>
  <c r="G8" i="17" s="1"/>
  <c r="C8" i="17"/>
  <c r="B7" i="17"/>
  <c r="B109" i="17" s="1"/>
  <c r="B4" i="17"/>
  <c r="B3" i="17"/>
  <c r="E39" i="17" s="1"/>
  <c r="E43" i="17" s="1"/>
  <c r="AE143" i="18" l="1"/>
  <c r="AE142" i="18"/>
  <c r="AE125" i="18"/>
  <c r="AE124" i="18"/>
  <c r="E69" i="17"/>
  <c r="E73" i="17" s="1"/>
  <c r="L100" i="20"/>
  <c r="K100" i="20"/>
  <c r="AE95" i="17"/>
  <c r="M95" i="18"/>
  <c r="K100" i="18"/>
  <c r="I100" i="18"/>
  <c r="AE101" i="18"/>
  <c r="C75" i="20"/>
  <c r="C181" i="20" s="1"/>
  <c r="C183" i="20" s="1"/>
  <c r="AE144" i="20"/>
  <c r="R44" i="20"/>
  <c r="X74" i="20"/>
  <c r="L44" i="20"/>
  <c r="W44" i="20"/>
  <c r="Z59" i="20"/>
  <c r="B137" i="20"/>
  <c r="B139" i="20" s="1"/>
  <c r="P74" i="20"/>
  <c r="U59" i="20"/>
  <c r="I59" i="20"/>
  <c r="O44" i="20"/>
  <c r="D54" i="20"/>
  <c r="D58" i="20" s="1"/>
  <c r="D60" i="20" s="1"/>
  <c r="D168" i="20" s="1"/>
  <c r="D170" i="20" s="1"/>
  <c r="J59" i="20"/>
  <c r="D75" i="20"/>
  <c r="D181" i="20" s="1"/>
  <c r="D183" i="20" s="1"/>
  <c r="Y59" i="20"/>
  <c r="AC59" i="20"/>
  <c r="AE126" i="20"/>
  <c r="F74" i="20"/>
  <c r="N74" i="20"/>
  <c r="N95" i="20"/>
  <c r="M100" i="20"/>
  <c r="E55" i="20"/>
  <c r="F40" i="20"/>
  <c r="F10" i="20"/>
  <c r="E25" i="20"/>
  <c r="E24" i="20" s="1"/>
  <c r="E28" i="20" s="1"/>
  <c r="E30" i="20" s="1"/>
  <c r="E137" i="20" s="1"/>
  <c r="E139" i="20" s="1"/>
  <c r="E9" i="20"/>
  <c r="E13" i="20" s="1"/>
  <c r="E15" i="20" s="1"/>
  <c r="G74" i="20"/>
  <c r="Q59" i="20"/>
  <c r="H74" i="20"/>
  <c r="AD59" i="20"/>
  <c r="AB59" i="20"/>
  <c r="V59" i="20"/>
  <c r="E59" i="20"/>
  <c r="E45" i="20"/>
  <c r="E155" i="20" s="1"/>
  <c r="E157" i="20" s="1"/>
  <c r="M59" i="20"/>
  <c r="A114" i="20"/>
  <c r="A84" i="20"/>
  <c r="AE44" i="20"/>
  <c r="T44" i="20"/>
  <c r="C40" i="18"/>
  <c r="D40" i="18" s="1"/>
  <c r="D39" i="18" s="1"/>
  <c r="D43" i="18" s="1"/>
  <c r="D45" i="18" s="1"/>
  <c r="D155" i="18" s="1"/>
  <c r="D157" i="18" s="1"/>
  <c r="L99" i="18"/>
  <c r="M99" i="18" s="1"/>
  <c r="N99" i="18" s="1"/>
  <c r="O99" i="18" s="1"/>
  <c r="P99" i="18" s="1"/>
  <c r="Q99" i="18" s="1"/>
  <c r="R99" i="18" s="1"/>
  <c r="S99" i="18" s="1"/>
  <c r="T99" i="18" s="1"/>
  <c r="U99" i="18" s="1"/>
  <c r="V99" i="18" s="1"/>
  <c r="W99" i="18" s="1"/>
  <c r="X99" i="18" s="1"/>
  <c r="Y99" i="18" s="1"/>
  <c r="Z99" i="18" s="1"/>
  <c r="AA99" i="18" s="1"/>
  <c r="AB99" i="18" s="1"/>
  <c r="AC99" i="18" s="1"/>
  <c r="AD99" i="18" s="1"/>
  <c r="AE99" i="18" s="1"/>
  <c r="AC44" i="18"/>
  <c r="AE74" i="18"/>
  <c r="E59" i="18"/>
  <c r="A114" i="18"/>
  <c r="A84" i="18"/>
  <c r="AA44" i="18"/>
  <c r="Y44" i="18"/>
  <c r="B151" i="18"/>
  <c r="D108" i="18"/>
  <c r="X59" i="18"/>
  <c r="J44" i="18"/>
  <c r="R44" i="18"/>
  <c r="Z44" i="18"/>
  <c r="H59" i="18"/>
  <c r="C9" i="18"/>
  <c r="C13" i="18" s="1"/>
  <c r="C15" i="18" s="1"/>
  <c r="C119" i="18" s="1"/>
  <c r="C121" i="18" s="1"/>
  <c r="I44" i="18"/>
  <c r="C55" i="18"/>
  <c r="C70" i="18" s="1"/>
  <c r="C69" i="18" s="1"/>
  <c r="C73" i="18" s="1"/>
  <c r="L44" i="18"/>
  <c r="T44" i="18"/>
  <c r="AB44" i="18"/>
  <c r="B59" i="18"/>
  <c r="B45" i="18"/>
  <c r="B155" i="18" s="1"/>
  <c r="B157" i="18" s="1"/>
  <c r="K29" i="18"/>
  <c r="G74" i="18"/>
  <c r="C74" i="18"/>
  <c r="M29" i="18"/>
  <c r="AD44" i="18"/>
  <c r="D59" i="18"/>
  <c r="Q44" i="18"/>
  <c r="V44" i="18"/>
  <c r="A66" i="18"/>
  <c r="A176" i="18" s="1"/>
  <c r="A36" i="18"/>
  <c r="A150" i="18" s="1"/>
  <c r="D10" i="18"/>
  <c r="D9" i="18" s="1"/>
  <c r="D13" i="18" s="1"/>
  <c r="D15" i="18" s="1"/>
  <c r="O59" i="18"/>
  <c r="W59" i="18"/>
  <c r="S29" i="18"/>
  <c r="C24" i="18"/>
  <c r="C28" i="18" s="1"/>
  <c r="C30" i="18" s="1"/>
  <c r="C39" i="18"/>
  <c r="C43" i="18" s="1"/>
  <c r="C45" i="18" s="1"/>
  <c r="P44" i="18"/>
  <c r="U29" i="18"/>
  <c r="N44" i="18"/>
  <c r="A51" i="18"/>
  <c r="A163" i="18" s="1"/>
  <c r="F44" i="18"/>
  <c r="B164" i="18"/>
  <c r="B133" i="18"/>
  <c r="C108" i="18"/>
  <c r="J100" i="18"/>
  <c r="F108" i="18"/>
  <c r="B177" i="18"/>
  <c r="I94" i="17"/>
  <c r="AE119" i="17"/>
  <c r="V29" i="17"/>
  <c r="X44" i="17"/>
  <c r="T44" i="17"/>
  <c r="E45" i="17"/>
  <c r="E149" i="17" s="1"/>
  <c r="E151" i="17" s="1"/>
  <c r="E59" i="17"/>
  <c r="U59" i="17"/>
  <c r="J29" i="17"/>
  <c r="R44" i="17"/>
  <c r="Z29" i="17"/>
  <c r="Y44" i="17"/>
  <c r="F55" i="17"/>
  <c r="F39" i="17"/>
  <c r="F43" i="17" s="1"/>
  <c r="G40" i="17"/>
  <c r="W74" i="17"/>
  <c r="C9" i="17"/>
  <c r="C13" i="17" s="1"/>
  <c r="C15" i="17" s="1"/>
  <c r="C113" i="17" s="1"/>
  <c r="C115" i="17" s="1"/>
  <c r="S44" i="17"/>
  <c r="AA59" i="17"/>
  <c r="AD29" i="17"/>
  <c r="N29" i="17"/>
  <c r="M44" i="17"/>
  <c r="AC44" i="17"/>
  <c r="K44" i="17"/>
  <c r="F102" i="17"/>
  <c r="B171" i="17"/>
  <c r="C25" i="17"/>
  <c r="C24" i="17" s="1"/>
  <c r="C28" i="17" s="1"/>
  <c r="C30" i="17" s="1"/>
  <c r="B127" i="17"/>
  <c r="C102" i="17"/>
  <c r="Q29" i="17"/>
  <c r="F44" i="17"/>
  <c r="A51" i="17"/>
  <c r="A157" i="17" s="1"/>
  <c r="A66" i="17"/>
  <c r="A170" i="17" s="1"/>
  <c r="A21" i="17"/>
  <c r="A126" i="17" s="1"/>
  <c r="D10" i="17"/>
  <c r="AE137" i="17"/>
  <c r="C69" i="17"/>
  <c r="C73" i="17" s="1"/>
  <c r="C54" i="17"/>
  <c r="C58" i="17" s="1"/>
  <c r="C39" i="17"/>
  <c r="C43" i="17" s="1"/>
  <c r="H59" i="17"/>
  <c r="D39" i="17"/>
  <c r="D43" i="17" s="1"/>
  <c r="D45" i="17" s="1"/>
  <c r="D149" i="17" s="1"/>
  <c r="D151" i="17" s="1"/>
  <c r="C44" i="17"/>
  <c r="E54" i="17"/>
  <c r="E58" i="17" s="1"/>
  <c r="D55" i="17"/>
  <c r="D70" i="17" s="1"/>
  <c r="D69" i="17" s="1"/>
  <c r="D73" i="17" s="1"/>
  <c r="AB59" i="17"/>
  <c r="G74" i="17"/>
  <c r="O59" i="17"/>
  <c r="AE59" i="17"/>
  <c r="A36" i="17"/>
  <c r="A144" i="17" s="1"/>
  <c r="G39" i="17"/>
  <c r="G43" i="17" s="1"/>
  <c r="G45" i="17" s="1"/>
  <c r="G149" i="17" s="1"/>
  <c r="G151" i="17" s="1"/>
  <c r="P59" i="17"/>
  <c r="D102" i="17"/>
  <c r="E102" i="17"/>
  <c r="B158" i="17"/>
  <c r="A84" i="17"/>
  <c r="A108" i="17"/>
  <c r="B45" i="17"/>
  <c r="B59" i="17"/>
  <c r="B30" i="17"/>
  <c r="B131" i="17" s="1"/>
  <c r="B133" i="17" s="1"/>
  <c r="I44" i="17"/>
  <c r="D59" i="17"/>
  <c r="J94" i="17"/>
  <c r="K92" i="17"/>
  <c r="N95" i="18" l="1"/>
  <c r="Q74" i="20"/>
  <c r="AB74" i="20"/>
  <c r="J74" i="20"/>
  <c r="F55" i="20"/>
  <c r="G40" i="20"/>
  <c r="F39" i="20"/>
  <c r="F43" i="20" s="1"/>
  <c r="F45" i="20" s="1"/>
  <c r="F155" i="20" s="1"/>
  <c r="F157" i="20" s="1"/>
  <c r="T59" i="20"/>
  <c r="M74" i="20"/>
  <c r="AD74" i="20"/>
  <c r="AC74" i="20"/>
  <c r="O59" i="20"/>
  <c r="W59" i="20"/>
  <c r="R59" i="20"/>
  <c r="N100" i="20"/>
  <c r="O95" i="20"/>
  <c r="I74" i="20"/>
  <c r="E119" i="20"/>
  <c r="E121" i="20" s="1"/>
  <c r="E70" i="20"/>
  <c r="E69" i="20" s="1"/>
  <c r="E73" i="20" s="1"/>
  <c r="E54" i="20"/>
  <c r="E58" i="20" s="1"/>
  <c r="E60" i="20" s="1"/>
  <c r="C131" i="17"/>
  <c r="C133" i="17" s="1"/>
  <c r="E74" i="20"/>
  <c r="E75" i="20" s="1"/>
  <c r="E181" i="20" s="1"/>
  <c r="E183" i="20" s="1"/>
  <c r="Y74" i="20"/>
  <c r="Z74" i="20"/>
  <c r="AE59" i="20"/>
  <c r="V74" i="20"/>
  <c r="L59" i="20"/>
  <c r="F25" i="20"/>
  <c r="F24" i="20" s="1"/>
  <c r="F28" i="20" s="1"/>
  <c r="F30" i="20" s="1"/>
  <c r="F137" i="20" s="1"/>
  <c r="F139" i="20" s="1"/>
  <c r="G10" i="20"/>
  <c r="F9" i="20"/>
  <c r="F13" i="20" s="1"/>
  <c r="F15" i="20" s="1"/>
  <c r="F119" i="20" s="1"/>
  <c r="F121" i="20" s="1"/>
  <c r="U74" i="20"/>
  <c r="C137" i="18"/>
  <c r="C139" i="18" s="1"/>
  <c r="D119" i="18"/>
  <c r="D121" i="18" s="1"/>
  <c r="C155" i="18"/>
  <c r="C157" i="18" s="1"/>
  <c r="J59" i="18"/>
  <c r="Y59" i="18"/>
  <c r="L59" i="18"/>
  <c r="R59" i="18"/>
  <c r="P59" i="18"/>
  <c r="F59" i="18"/>
  <c r="U44" i="18"/>
  <c r="W74" i="18"/>
  <c r="AB59" i="18"/>
  <c r="E74" i="18"/>
  <c r="AD59" i="18"/>
  <c r="L98" i="18"/>
  <c r="L100" i="18" s="1"/>
  <c r="O74" i="18"/>
  <c r="V59" i="18"/>
  <c r="Q59" i="18"/>
  <c r="M44" i="18"/>
  <c r="K44" i="18"/>
  <c r="I59" i="18"/>
  <c r="Z59" i="18"/>
  <c r="AA59" i="18"/>
  <c r="C54" i="18"/>
  <c r="C58" i="18" s="1"/>
  <c r="C60" i="18" s="1"/>
  <c r="E10" i="18"/>
  <c r="D25" i="18"/>
  <c r="D24" i="18" s="1"/>
  <c r="D28" i="18" s="1"/>
  <c r="D30" i="18" s="1"/>
  <c r="D137" i="18" s="1"/>
  <c r="D139" i="18" s="1"/>
  <c r="T59" i="18"/>
  <c r="H74" i="18"/>
  <c r="N59" i="18"/>
  <c r="S44" i="18"/>
  <c r="D74" i="18"/>
  <c r="C75" i="18"/>
  <c r="B60" i="18"/>
  <c r="B74" i="18"/>
  <c r="B75" i="18" s="1"/>
  <c r="D55" i="18"/>
  <c r="E40" i="18"/>
  <c r="X74" i="18"/>
  <c r="AC59" i="18"/>
  <c r="E10" i="17"/>
  <c r="D25" i="17"/>
  <c r="D24" i="17" s="1"/>
  <c r="D28" i="17" s="1"/>
  <c r="D30" i="17" s="1"/>
  <c r="D131" i="17" s="1"/>
  <c r="D133" i="17" s="1"/>
  <c r="K59" i="17"/>
  <c r="AA74" i="17"/>
  <c r="Y59" i="17"/>
  <c r="T59" i="17"/>
  <c r="V44" i="17"/>
  <c r="P74" i="17"/>
  <c r="B149" i="17"/>
  <c r="B151" i="17" s="1"/>
  <c r="AB74" i="17"/>
  <c r="L92" i="17"/>
  <c r="K94" i="17"/>
  <c r="O74" i="17"/>
  <c r="H74" i="17"/>
  <c r="U74" i="17"/>
  <c r="B74" i="17"/>
  <c r="B75" i="17" s="1"/>
  <c r="B60" i="17"/>
  <c r="F70" i="17"/>
  <c r="F69" i="17" s="1"/>
  <c r="F73" i="17" s="1"/>
  <c r="F54" i="17"/>
  <c r="F58" i="17" s="1"/>
  <c r="I59" i="17"/>
  <c r="AE74" i="17"/>
  <c r="AC59" i="17"/>
  <c r="S59" i="17"/>
  <c r="Z44" i="17"/>
  <c r="D9" i="17"/>
  <c r="D13" i="17" s="1"/>
  <c r="D15" i="17" s="1"/>
  <c r="D113" i="17" s="1"/>
  <c r="D115" i="17" s="1"/>
  <c r="N44" i="17"/>
  <c r="E60" i="17"/>
  <c r="E162" i="17" s="1"/>
  <c r="E164" i="17" s="1"/>
  <c r="E74" i="17"/>
  <c r="E75" i="17" s="1"/>
  <c r="E175" i="17" s="1"/>
  <c r="E177" i="17" s="1"/>
  <c r="C59" i="17"/>
  <c r="C45" i="17"/>
  <c r="D54" i="17"/>
  <c r="D58" i="17" s="1"/>
  <c r="D60" i="17" s="1"/>
  <c r="D162" i="17" s="1"/>
  <c r="D164" i="17" s="1"/>
  <c r="Q44" i="17"/>
  <c r="M59" i="17"/>
  <c r="AD44" i="17"/>
  <c r="J44" i="17"/>
  <c r="D74" i="17"/>
  <c r="D75" i="17" s="1"/>
  <c r="D175" i="17" s="1"/>
  <c r="D177" i="17" s="1"/>
  <c r="F45" i="17"/>
  <c r="F149" i="17" s="1"/>
  <c r="F151" i="17" s="1"/>
  <c r="F59" i="17"/>
  <c r="G55" i="17"/>
  <c r="H40" i="17"/>
  <c r="R59" i="17"/>
  <c r="X59" i="17"/>
  <c r="O95" i="18" l="1"/>
  <c r="H10" i="20"/>
  <c r="G25" i="20"/>
  <c r="G24" i="20" s="1"/>
  <c r="G28" i="20" s="1"/>
  <c r="G30" i="20" s="1"/>
  <c r="G137" i="20" s="1"/>
  <c r="G139" i="20" s="1"/>
  <c r="G9" i="20"/>
  <c r="G13" i="20" s="1"/>
  <c r="G15" i="20" s="1"/>
  <c r="G119" i="20" s="1"/>
  <c r="G121" i="20" s="1"/>
  <c r="P95" i="20"/>
  <c r="O100" i="20"/>
  <c r="L74" i="20"/>
  <c r="F70" i="20"/>
  <c r="F69" i="20" s="1"/>
  <c r="F73" i="20" s="1"/>
  <c r="F75" i="20" s="1"/>
  <c r="F181" i="20" s="1"/>
  <c r="F183" i="20" s="1"/>
  <c r="F54" i="20"/>
  <c r="F58" i="20" s="1"/>
  <c r="F60" i="20" s="1"/>
  <c r="F168" i="20" s="1"/>
  <c r="F170" i="20" s="1"/>
  <c r="W74" i="20"/>
  <c r="G55" i="20"/>
  <c r="H40" i="20"/>
  <c r="G39" i="20"/>
  <c r="G43" i="20" s="1"/>
  <c r="G45" i="20" s="1"/>
  <c r="G155" i="20" s="1"/>
  <c r="G157" i="20" s="1"/>
  <c r="C149" i="17"/>
  <c r="C151" i="17" s="1"/>
  <c r="T74" i="20"/>
  <c r="O74" i="20"/>
  <c r="R74" i="20"/>
  <c r="E168" i="20"/>
  <c r="E170" i="20" s="1"/>
  <c r="C181" i="18"/>
  <c r="C183" i="18" s="1"/>
  <c r="C168" i="18"/>
  <c r="C170" i="18" s="1"/>
  <c r="AE74" i="20"/>
  <c r="B168" i="18"/>
  <c r="B170" i="18" s="1"/>
  <c r="AA74" i="18"/>
  <c r="P74" i="18"/>
  <c r="J74" i="18"/>
  <c r="AC74" i="18"/>
  <c r="M59" i="18"/>
  <c r="M98" i="18"/>
  <c r="M100" i="18" s="1"/>
  <c r="R74" i="18"/>
  <c r="N74" i="18"/>
  <c r="K59" i="18"/>
  <c r="Q74" i="18"/>
  <c r="T74" i="18"/>
  <c r="Z74" i="18"/>
  <c r="I74" i="18"/>
  <c r="AD74" i="18"/>
  <c r="U59" i="18"/>
  <c r="L74" i="18"/>
  <c r="E55" i="18"/>
  <c r="F40" i="18"/>
  <c r="E39" i="18"/>
  <c r="E43" i="18" s="1"/>
  <c r="E45" i="18" s="1"/>
  <c r="S59" i="18"/>
  <c r="V74" i="18"/>
  <c r="B181" i="18"/>
  <c r="B183" i="18" s="1"/>
  <c r="AB74" i="18"/>
  <c r="E25" i="18"/>
  <c r="E24" i="18" s="1"/>
  <c r="E28" i="18" s="1"/>
  <c r="E30" i="18" s="1"/>
  <c r="E137" i="18" s="1"/>
  <c r="E139" i="18" s="1"/>
  <c r="F10" i="18"/>
  <c r="E9" i="18"/>
  <c r="E13" i="18" s="1"/>
  <c r="E15" i="18" s="1"/>
  <c r="E119" i="18" s="1"/>
  <c r="E121" i="18" s="1"/>
  <c r="Y74" i="18"/>
  <c r="D70" i="18"/>
  <c r="D69" i="18" s="1"/>
  <c r="D73" i="18" s="1"/>
  <c r="D75" i="18" s="1"/>
  <c r="D54" i="18"/>
  <c r="D58" i="18" s="1"/>
  <c r="D60" i="18" s="1"/>
  <c r="D168" i="18" s="1"/>
  <c r="D170" i="18" s="1"/>
  <c r="F74" i="18"/>
  <c r="H55" i="17"/>
  <c r="I40" i="17"/>
  <c r="H39" i="17"/>
  <c r="H43" i="17" s="1"/>
  <c r="H45" i="17" s="1"/>
  <c r="H149" i="17" s="1"/>
  <c r="H151" i="17" s="1"/>
  <c r="G70" i="17"/>
  <c r="G69" i="17" s="1"/>
  <c r="G73" i="17" s="1"/>
  <c r="G75" i="17" s="1"/>
  <c r="G175" i="17" s="1"/>
  <c r="G177" i="17" s="1"/>
  <c r="G54" i="17"/>
  <c r="G58" i="17" s="1"/>
  <c r="G60" i="17" s="1"/>
  <c r="G162" i="17" s="1"/>
  <c r="G164" i="17" s="1"/>
  <c r="J59" i="17"/>
  <c r="AD59" i="17"/>
  <c r="Y74" i="17"/>
  <c r="S74" i="17"/>
  <c r="E25" i="17"/>
  <c r="E24" i="17" s="1"/>
  <c r="E28" i="17" s="1"/>
  <c r="E30" i="17" s="1"/>
  <c r="F10" i="17"/>
  <c r="E9" i="17"/>
  <c r="E13" i="17" s="1"/>
  <c r="E15" i="17" s="1"/>
  <c r="V59" i="17"/>
  <c r="I74" i="17"/>
  <c r="K74" i="17"/>
  <c r="Z59" i="17"/>
  <c r="X74" i="17"/>
  <c r="M74" i="17"/>
  <c r="B162" i="17"/>
  <c r="B164" i="17" s="1"/>
  <c r="T74" i="17"/>
  <c r="F74" i="17"/>
  <c r="F75" i="17" s="1"/>
  <c r="F175" i="17" s="1"/>
  <c r="F177" i="17" s="1"/>
  <c r="F60" i="17"/>
  <c r="F162" i="17" s="1"/>
  <c r="F164" i="17" s="1"/>
  <c r="C74" i="17"/>
  <c r="C75" i="17" s="1"/>
  <c r="C60" i="17"/>
  <c r="N59" i="17"/>
  <c r="R74" i="17"/>
  <c r="Q59" i="17"/>
  <c r="AC74" i="17"/>
  <c r="B175" i="17"/>
  <c r="B177" i="17" s="1"/>
  <c r="L94" i="17"/>
  <c r="M92" i="17"/>
  <c r="P95" i="18" l="1"/>
  <c r="C162" i="17"/>
  <c r="C164" i="17" s="1"/>
  <c r="Q95" i="20"/>
  <c r="P100" i="20"/>
  <c r="C175" i="17"/>
  <c r="C177" i="17" s="1"/>
  <c r="E155" i="18"/>
  <c r="E157" i="18" s="1"/>
  <c r="H55" i="20"/>
  <c r="I40" i="20"/>
  <c r="H39" i="20"/>
  <c r="H43" i="20" s="1"/>
  <c r="H45" i="20" s="1"/>
  <c r="G70" i="20"/>
  <c r="G69" i="20" s="1"/>
  <c r="G73" i="20" s="1"/>
  <c r="G75" i="20" s="1"/>
  <c r="G54" i="20"/>
  <c r="G58" i="20" s="1"/>
  <c r="G60" i="20" s="1"/>
  <c r="G168" i="20" s="1"/>
  <c r="G170" i="20" s="1"/>
  <c r="I10" i="20"/>
  <c r="H25" i="20"/>
  <c r="H24" i="20" s="1"/>
  <c r="H28" i="20" s="1"/>
  <c r="H30" i="20" s="1"/>
  <c r="H9" i="20"/>
  <c r="H13" i="20" s="1"/>
  <c r="H15" i="20" s="1"/>
  <c r="D181" i="18"/>
  <c r="D183" i="18" s="1"/>
  <c r="N98" i="18"/>
  <c r="N100" i="18" s="1"/>
  <c r="S74" i="18"/>
  <c r="U74" i="18"/>
  <c r="M74" i="18"/>
  <c r="G40" i="18"/>
  <c r="F55" i="18"/>
  <c r="F39" i="18"/>
  <c r="F43" i="18" s="1"/>
  <c r="F45" i="18" s="1"/>
  <c r="F155" i="18" s="1"/>
  <c r="F157" i="18" s="1"/>
  <c r="F25" i="18"/>
  <c r="F24" i="18" s="1"/>
  <c r="F28" i="18" s="1"/>
  <c r="F30" i="18" s="1"/>
  <c r="G10" i="18"/>
  <c r="F9" i="18"/>
  <c r="F13" i="18" s="1"/>
  <c r="F15" i="18" s="1"/>
  <c r="F119" i="18" s="1"/>
  <c r="F121" i="18" s="1"/>
  <c r="E70" i="18"/>
  <c r="E69" i="18" s="1"/>
  <c r="E73" i="18" s="1"/>
  <c r="E75" i="18" s="1"/>
  <c r="E181" i="18" s="1"/>
  <c r="E183" i="18" s="1"/>
  <c r="E54" i="18"/>
  <c r="E58" i="18" s="1"/>
  <c r="E60" i="18" s="1"/>
  <c r="E168" i="18" s="1"/>
  <c r="E170" i="18" s="1"/>
  <c r="K74" i="18"/>
  <c r="E113" i="17"/>
  <c r="E115" i="17" s="1"/>
  <c r="N74" i="17"/>
  <c r="G10" i="17"/>
  <c r="F25" i="17"/>
  <c r="F24" i="17" s="1"/>
  <c r="F28" i="17" s="1"/>
  <c r="F30" i="17" s="1"/>
  <c r="F131" i="17" s="1"/>
  <c r="F133" i="17" s="1"/>
  <c r="F9" i="17"/>
  <c r="F13" i="17" s="1"/>
  <c r="F15" i="17" s="1"/>
  <c r="F113" i="17" s="1"/>
  <c r="F115" i="17" s="1"/>
  <c r="AD74" i="17"/>
  <c r="Q74" i="17"/>
  <c r="V74" i="17"/>
  <c r="E131" i="17"/>
  <c r="E133" i="17" s="1"/>
  <c r="I55" i="17"/>
  <c r="J40" i="17"/>
  <c r="I39" i="17"/>
  <c r="I43" i="17" s="1"/>
  <c r="I45" i="17" s="1"/>
  <c r="I149" i="17" s="1"/>
  <c r="I151" i="17" s="1"/>
  <c r="J74" i="17"/>
  <c r="N92" i="17"/>
  <c r="M94" i="17"/>
  <c r="Z74" i="17"/>
  <c r="H70" i="17"/>
  <c r="H69" i="17" s="1"/>
  <c r="H73" i="17" s="1"/>
  <c r="H75" i="17" s="1"/>
  <c r="H175" i="17" s="1"/>
  <c r="H177" i="17" s="1"/>
  <c r="H54" i="17"/>
  <c r="H58" i="17" s="1"/>
  <c r="H60" i="17" s="1"/>
  <c r="H162" i="17" s="1"/>
  <c r="H164" i="17" s="1"/>
  <c r="Q95" i="18" l="1"/>
  <c r="Q100" i="20"/>
  <c r="R95" i="20"/>
  <c r="H70" i="20"/>
  <c r="H69" i="20" s="1"/>
  <c r="H73" i="20" s="1"/>
  <c r="H75" i="20" s="1"/>
  <c r="H181" i="20" s="1"/>
  <c r="H183" i="20" s="1"/>
  <c r="H54" i="20"/>
  <c r="H58" i="20" s="1"/>
  <c r="H60" i="20" s="1"/>
  <c r="H155" i="20"/>
  <c r="H157" i="20" s="1"/>
  <c r="F137" i="18"/>
  <c r="F139" i="18" s="1"/>
  <c r="G181" i="20"/>
  <c r="G183" i="20" s="1"/>
  <c r="H119" i="20"/>
  <c r="H121" i="20" s="1"/>
  <c r="H137" i="20"/>
  <c r="H139" i="20" s="1"/>
  <c r="J10" i="20"/>
  <c r="I25" i="20"/>
  <c r="I24" i="20" s="1"/>
  <c r="I28" i="20" s="1"/>
  <c r="I30" i="20" s="1"/>
  <c r="I137" i="20" s="1"/>
  <c r="I139" i="20" s="1"/>
  <c r="I9" i="20"/>
  <c r="I13" i="20" s="1"/>
  <c r="I15" i="20" s="1"/>
  <c r="I119" i="20" s="1"/>
  <c r="I121" i="20" s="1"/>
  <c r="J40" i="20"/>
  <c r="I55" i="20"/>
  <c r="I39" i="20"/>
  <c r="I43" i="20" s="1"/>
  <c r="I45" i="20" s="1"/>
  <c r="I155" i="20" s="1"/>
  <c r="I157" i="20" s="1"/>
  <c r="O98" i="18"/>
  <c r="O100" i="18" s="1"/>
  <c r="F70" i="18"/>
  <c r="F69" i="18" s="1"/>
  <c r="F73" i="18" s="1"/>
  <c r="F75" i="18" s="1"/>
  <c r="F181" i="18" s="1"/>
  <c r="F183" i="18" s="1"/>
  <c r="F54" i="18"/>
  <c r="F58" i="18" s="1"/>
  <c r="F60" i="18" s="1"/>
  <c r="H40" i="18"/>
  <c r="G55" i="18"/>
  <c r="G39" i="18"/>
  <c r="G43" i="18" s="1"/>
  <c r="G45" i="18" s="1"/>
  <c r="G25" i="18"/>
  <c r="G24" i="18" s="1"/>
  <c r="G28" i="18" s="1"/>
  <c r="G30" i="18" s="1"/>
  <c r="H10" i="18"/>
  <c r="G9" i="18"/>
  <c r="G13" i="18" s="1"/>
  <c r="G15" i="18" s="1"/>
  <c r="G119" i="18" s="1"/>
  <c r="G121" i="18" s="1"/>
  <c r="J55" i="17"/>
  <c r="K40" i="17"/>
  <c r="J39" i="17"/>
  <c r="J43" i="17" s="1"/>
  <c r="J45" i="17" s="1"/>
  <c r="O92" i="17"/>
  <c r="N94" i="17"/>
  <c r="I70" i="17"/>
  <c r="I69" i="17" s="1"/>
  <c r="I73" i="17" s="1"/>
  <c r="I75" i="17" s="1"/>
  <c r="I175" i="17" s="1"/>
  <c r="I177" i="17" s="1"/>
  <c r="I54" i="17"/>
  <c r="I58" i="17" s="1"/>
  <c r="I60" i="17" s="1"/>
  <c r="H10" i="17"/>
  <c r="G25" i="17"/>
  <c r="G24" i="17" s="1"/>
  <c r="G28" i="17" s="1"/>
  <c r="G30" i="17" s="1"/>
  <c r="G9" i="17"/>
  <c r="G13" i="17" s="1"/>
  <c r="G15" i="17" s="1"/>
  <c r="G113" i="17" s="1"/>
  <c r="G115" i="17" s="1"/>
  <c r="R95" i="18" l="1"/>
  <c r="I162" i="17"/>
  <c r="I164" i="17" s="1"/>
  <c r="H168" i="20"/>
  <c r="H170" i="20" s="1"/>
  <c r="G155" i="18"/>
  <c r="G157" i="18" s="1"/>
  <c r="I70" i="20"/>
  <c r="I69" i="20" s="1"/>
  <c r="I73" i="20" s="1"/>
  <c r="I75" i="20" s="1"/>
  <c r="I181" i="20" s="1"/>
  <c r="I183" i="20" s="1"/>
  <c r="I54" i="20"/>
  <c r="I58" i="20" s="1"/>
  <c r="I60" i="20" s="1"/>
  <c r="I168" i="20" s="1"/>
  <c r="I170" i="20" s="1"/>
  <c r="J55" i="20"/>
  <c r="K40" i="20"/>
  <c r="J39" i="20"/>
  <c r="J43" i="20" s="1"/>
  <c r="J45" i="20" s="1"/>
  <c r="J155" i="20" s="1"/>
  <c r="J157" i="20" s="1"/>
  <c r="R100" i="20"/>
  <c r="S95" i="20"/>
  <c r="J149" i="17"/>
  <c r="J151" i="17" s="1"/>
  <c r="J25" i="20"/>
  <c r="J24" i="20" s="1"/>
  <c r="J28" i="20" s="1"/>
  <c r="J30" i="20" s="1"/>
  <c r="J9" i="20"/>
  <c r="J13" i="20" s="1"/>
  <c r="J15" i="20" s="1"/>
  <c r="K10" i="20"/>
  <c r="G137" i="18"/>
  <c r="G139" i="18" s="1"/>
  <c r="H55" i="18"/>
  <c r="I40" i="18"/>
  <c r="H39" i="18"/>
  <c r="H43" i="18" s="1"/>
  <c r="H45" i="18" s="1"/>
  <c r="H155" i="18" s="1"/>
  <c r="H157" i="18" s="1"/>
  <c r="F168" i="18"/>
  <c r="F170" i="18" s="1"/>
  <c r="P98" i="18"/>
  <c r="P100" i="18" s="1"/>
  <c r="H25" i="18"/>
  <c r="H24" i="18" s="1"/>
  <c r="H28" i="18" s="1"/>
  <c r="H30" i="18" s="1"/>
  <c r="H137" i="18" s="1"/>
  <c r="H139" i="18" s="1"/>
  <c r="I10" i="18"/>
  <c r="H9" i="18"/>
  <c r="H13" i="18" s="1"/>
  <c r="H15" i="18" s="1"/>
  <c r="H119" i="18" s="1"/>
  <c r="H121" i="18" s="1"/>
  <c r="G70" i="18"/>
  <c r="G69" i="18" s="1"/>
  <c r="G73" i="18" s="1"/>
  <c r="G75" i="18" s="1"/>
  <c r="G54" i="18"/>
  <c r="G58" i="18" s="1"/>
  <c r="G60" i="18" s="1"/>
  <c r="G168" i="18" s="1"/>
  <c r="G170" i="18" s="1"/>
  <c r="I10" i="17"/>
  <c r="H25" i="17"/>
  <c r="H24" i="17" s="1"/>
  <c r="H28" i="17" s="1"/>
  <c r="H30" i="17" s="1"/>
  <c r="H131" i="17" s="1"/>
  <c r="H133" i="17" s="1"/>
  <c r="H9" i="17"/>
  <c r="H13" i="17" s="1"/>
  <c r="H15" i="17" s="1"/>
  <c r="H113" i="17" s="1"/>
  <c r="H115" i="17" s="1"/>
  <c r="G131" i="17"/>
  <c r="G133" i="17" s="1"/>
  <c r="L40" i="17"/>
  <c r="K55" i="17"/>
  <c r="K39" i="17"/>
  <c r="K43" i="17" s="1"/>
  <c r="K45" i="17" s="1"/>
  <c r="K149" i="17" s="1"/>
  <c r="K151" i="17" s="1"/>
  <c r="J70" i="17"/>
  <c r="J69" i="17" s="1"/>
  <c r="J73" i="17" s="1"/>
  <c r="J75" i="17" s="1"/>
  <c r="J175" i="17" s="1"/>
  <c r="J177" i="17" s="1"/>
  <c r="J54" i="17"/>
  <c r="J58" i="17" s="1"/>
  <c r="J60" i="17" s="1"/>
  <c r="J162" i="17" s="1"/>
  <c r="J164" i="17" s="1"/>
  <c r="O94" i="17"/>
  <c r="P92" i="17"/>
  <c r="S95" i="18" l="1"/>
  <c r="J119" i="20"/>
  <c r="J121" i="20" s="1"/>
  <c r="J137" i="20"/>
  <c r="J139" i="20" s="1"/>
  <c r="K55" i="20"/>
  <c r="L40" i="20"/>
  <c r="K39" i="20"/>
  <c r="K43" i="20" s="1"/>
  <c r="K45" i="20" s="1"/>
  <c r="K155" i="20" s="1"/>
  <c r="K157" i="20" s="1"/>
  <c r="J70" i="20"/>
  <c r="J69" i="20" s="1"/>
  <c r="J73" i="20" s="1"/>
  <c r="J75" i="20" s="1"/>
  <c r="J181" i="20" s="1"/>
  <c r="J183" i="20" s="1"/>
  <c r="J54" i="20"/>
  <c r="J58" i="20" s="1"/>
  <c r="J60" i="20" s="1"/>
  <c r="J168" i="20" s="1"/>
  <c r="J170" i="20" s="1"/>
  <c r="T95" i="20"/>
  <c r="S100" i="20"/>
  <c r="K25" i="20"/>
  <c r="K24" i="20" s="1"/>
  <c r="K28" i="20" s="1"/>
  <c r="K30" i="20" s="1"/>
  <c r="K137" i="20" s="1"/>
  <c r="K139" i="20" s="1"/>
  <c r="K9" i="20"/>
  <c r="K13" i="20" s="1"/>
  <c r="K15" i="20" s="1"/>
  <c r="K119" i="20" s="1"/>
  <c r="K121" i="20" s="1"/>
  <c r="L10" i="20"/>
  <c r="I25" i="18"/>
  <c r="I24" i="18" s="1"/>
  <c r="I28" i="18" s="1"/>
  <c r="I30" i="18" s="1"/>
  <c r="I137" i="18" s="1"/>
  <c r="I139" i="18" s="1"/>
  <c r="J10" i="18"/>
  <c r="I9" i="18"/>
  <c r="I13" i="18" s="1"/>
  <c r="I15" i="18" s="1"/>
  <c r="I119" i="18" s="1"/>
  <c r="I121" i="18" s="1"/>
  <c r="J40" i="18"/>
  <c r="I55" i="18"/>
  <c r="I39" i="18"/>
  <c r="I43" i="18" s="1"/>
  <c r="I45" i="18" s="1"/>
  <c r="Q98" i="18"/>
  <c r="Q100" i="18" s="1"/>
  <c r="H70" i="18"/>
  <c r="H69" i="18" s="1"/>
  <c r="H73" i="18" s="1"/>
  <c r="H75" i="18" s="1"/>
  <c r="H181" i="18" s="1"/>
  <c r="H183" i="18" s="1"/>
  <c r="H54" i="18"/>
  <c r="H58" i="18" s="1"/>
  <c r="H60" i="18" s="1"/>
  <c r="G181" i="18"/>
  <c r="G183" i="18" s="1"/>
  <c r="I25" i="17"/>
  <c r="I24" i="17" s="1"/>
  <c r="I28" i="17" s="1"/>
  <c r="I30" i="17" s="1"/>
  <c r="J10" i="17"/>
  <c r="I9" i="17"/>
  <c r="I13" i="17" s="1"/>
  <c r="I15" i="17" s="1"/>
  <c r="I113" i="17" s="1"/>
  <c r="I115" i="17" s="1"/>
  <c r="K70" i="17"/>
  <c r="K69" i="17" s="1"/>
  <c r="K73" i="17" s="1"/>
  <c r="K75" i="17" s="1"/>
  <c r="K175" i="17" s="1"/>
  <c r="K177" i="17" s="1"/>
  <c r="K54" i="17"/>
  <c r="K58" i="17" s="1"/>
  <c r="K60" i="17" s="1"/>
  <c r="K162" i="17" s="1"/>
  <c r="K164" i="17" s="1"/>
  <c r="M40" i="17"/>
  <c r="L55" i="17"/>
  <c r="L39" i="17"/>
  <c r="L43" i="17" s="1"/>
  <c r="L45" i="17" s="1"/>
  <c r="L149" i="17" s="1"/>
  <c r="L151" i="17" s="1"/>
  <c r="P94" i="17"/>
  <c r="Q92" i="17"/>
  <c r="T95" i="18" l="1"/>
  <c r="L55" i="20"/>
  <c r="M40" i="20"/>
  <c r="L39" i="20"/>
  <c r="L43" i="20" s="1"/>
  <c r="L45" i="20" s="1"/>
  <c r="L155" i="20" s="1"/>
  <c r="L157" i="20" s="1"/>
  <c r="I155" i="18"/>
  <c r="I157" i="18" s="1"/>
  <c r="U95" i="20"/>
  <c r="T100" i="20"/>
  <c r="K70" i="20"/>
  <c r="K69" i="20" s="1"/>
  <c r="K73" i="20" s="1"/>
  <c r="K75" i="20" s="1"/>
  <c r="K181" i="20" s="1"/>
  <c r="K183" i="20" s="1"/>
  <c r="K54" i="20"/>
  <c r="K58" i="20" s="1"/>
  <c r="K60" i="20" s="1"/>
  <c r="K168" i="20" s="1"/>
  <c r="K170" i="20" s="1"/>
  <c r="H168" i="18"/>
  <c r="H170" i="18" s="1"/>
  <c r="L25" i="20"/>
  <c r="L24" i="20" s="1"/>
  <c r="L28" i="20" s="1"/>
  <c r="L30" i="20" s="1"/>
  <c r="L137" i="20" s="1"/>
  <c r="L139" i="20" s="1"/>
  <c r="M10" i="20"/>
  <c r="L9" i="20"/>
  <c r="L13" i="20" s="1"/>
  <c r="L15" i="20" s="1"/>
  <c r="L119" i="20" s="1"/>
  <c r="L121" i="20" s="1"/>
  <c r="I70" i="18"/>
  <c r="I69" i="18" s="1"/>
  <c r="I73" i="18" s="1"/>
  <c r="I75" i="18" s="1"/>
  <c r="I181" i="18" s="1"/>
  <c r="I183" i="18" s="1"/>
  <c r="I54" i="18"/>
  <c r="I58" i="18" s="1"/>
  <c r="I60" i="18" s="1"/>
  <c r="I168" i="18" s="1"/>
  <c r="I170" i="18" s="1"/>
  <c r="J55" i="18"/>
  <c r="K40" i="18"/>
  <c r="J39" i="18"/>
  <c r="J43" i="18" s="1"/>
  <c r="J45" i="18" s="1"/>
  <c r="J155" i="18" s="1"/>
  <c r="J157" i="18" s="1"/>
  <c r="J25" i="18"/>
  <c r="J24" i="18" s="1"/>
  <c r="J28" i="18" s="1"/>
  <c r="J30" i="18" s="1"/>
  <c r="J137" i="18" s="1"/>
  <c r="J139" i="18" s="1"/>
  <c r="K10" i="18"/>
  <c r="J9" i="18"/>
  <c r="J13" i="18" s="1"/>
  <c r="J15" i="18" s="1"/>
  <c r="J119" i="18" s="1"/>
  <c r="J121" i="18" s="1"/>
  <c r="R98" i="18"/>
  <c r="R100" i="18" s="1"/>
  <c r="L70" i="17"/>
  <c r="L69" i="17" s="1"/>
  <c r="L73" i="17" s="1"/>
  <c r="L75" i="17" s="1"/>
  <c r="L175" i="17" s="1"/>
  <c r="L177" i="17" s="1"/>
  <c r="L54" i="17"/>
  <c r="L58" i="17" s="1"/>
  <c r="L60" i="17" s="1"/>
  <c r="J25" i="17"/>
  <c r="J24" i="17" s="1"/>
  <c r="J28" i="17" s="1"/>
  <c r="J30" i="17" s="1"/>
  <c r="J131" i="17" s="1"/>
  <c r="J133" i="17" s="1"/>
  <c r="K10" i="17"/>
  <c r="J9" i="17"/>
  <c r="J13" i="17" s="1"/>
  <c r="J15" i="17" s="1"/>
  <c r="J113" i="17" s="1"/>
  <c r="J115" i="17" s="1"/>
  <c r="N40" i="17"/>
  <c r="M55" i="17"/>
  <c r="M39" i="17"/>
  <c r="M43" i="17" s="1"/>
  <c r="M45" i="17" s="1"/>
  <c r="M149" i="17" s="1"/>
  <c r="M151" i="17" s="1"/>
  <c r="I131" i="17"/>
  <c r="I133" i="17" s="1"/>
  <c r="Q94" i="17"/>
  <c r="R92" i="17"/>
  <c r="U95" i="18" l="1"/>
  <c r="M25" i="20"/>
  <c r="M24" i="20" s="1"/>
  <c r="M28" i="20" s="1"/>
  <c r="M30" i="20" s="1"/>
  <c r="M137" i="20" s="1"/>
  <c r="M139" i="20" s="1"/>
  <c r="N10" i="20"/>
  <c r="M9" i="20"/>
  <c r="M13" i="20" s="1"/>
  <c r="M15" i="20" s="1"/>
  <c r="M119" i="20" s="1"/>
  <c r="M121" i="20" s="1"/>
  <c r="V95" i="20"/>
  <c r="U100" i="20"/>
  <c r="M55" i="20"/>
  <c r="N40" i="20"/>
  <c r="M39" i="20"/>
  <c r="M43" i="20" s="1"/>
  <c r="M45" i="20" s="1"/>
  <c r="M155" i="20" s="1"/>
  <c r="M157" i="20" s="1"/>
  <c r="L162" i="17"/>
  <c r="L164" i="17" s="1"/>
  <c r="L70" i="20"/>
  <c r="L69" i="20" s="1"/>
  <c r="L73" i="20" s="1"/>
  <c r="L75" i="20" s="1"/>
  <c r="L181" i="20" s="1"/>
  <c r="L183" i="20" s="1"/>
  <c r="L54" i="20"/>
  <c r="L58" i="20" s="1"/>
  <c r="L60" i="20" s="1"/>
  <c r="L168" i="20" s="1"/>
  <c r="L170" i="20" s="1"/>
  <c r="K55" i="18"/>
  <c r="L40" i="18"/>
  <c r="K39" i="18"/>
  <c r="K43" i="18" s="1"/>
  <c r="K45" i="18" s="1"/>
  <c r="K155" i="18" s="1"/>
  <c r="K157" i="18" s="1"/>
  <c r="S98" i="18"/>
  <c r="S100" i="18" s="1"/>
  <c r="J70" i="18"/>
  <c r="J69" i="18" s="1"/>
  <c r="J73" i="18" s="1"/>
  <c r="J75" i="18" s="1"/>
  <c r="J181" i="18" s="1"/>
  <c r="J183" i="18" s="1"/>
  <c r="J54" i="18"/>
  <c r="J58" i="18" s="1"/>
  <c r="J60" i="18" s="1"/>
  <c r="J168" i="18" s="1"/>
  <c r="J170" i="18" s="1"/>
  <c r="K25" i="18"/>
  <c r="K24" i="18" s="1"/>
  <c r="K28" i="18" s="1"/>
  <c r="K30" i="18" s="1"/>
  <c r="K137" i="18" s="1"/>
  <c r="K139" i="18" s="1"/>
  <c r="L10" i="18"/>
  <c r="K9" i="18"/>
  <c r="K13" i="18" s="1"/>
  <c r="K15" i="18" s="1"/>
  <c r="K119" i="18" s="1"/>
  <c r="K121" i="18" s="1"/>
  <c r="K25" i="17"/>
  <c r="K24" i="17" s="1"/>
  <c r="K28" i="17" s="1"/>
  <c r="K30" i="17" s="1"/>
  <c r="K131" i="17" s="1"/>
  <c r="K133" i="17" s="1"/>
  <c r="L10" i="17"/>
  <c r="K9" i="17"/>
  <c r="K13" i="17" s="1"/>
  <c r="K15" i="17" s="1"/>
  <c r="K113" i="17" s="1"/>
  <c r="K115" i="17" s="1"/>
  <c r="M70" i="17"/>
  <c r="M69" i="17" s="1"/>
  <c r="M73" i="17" s="1"/>
  <c r="M75" i="17" s="1"/>
  <c r="M175" i="17" s="1"/>
  <c r="M177" i="17" s="1"/>
  <c r="M54" i="17"/>
  <c r="M58" i="17" s="1"/>
  <c r="M60" i="17" s="1"/>
  <c r="M162" i="17" s="1"/>
  <c r="M164" i="17" s="1"/>
  <c r="N55" i="17"/>
  <c r="O40" i="17"/>
  <c r="N39" i="17"/>
  <c r="N43" i="17" s="1"/>
  <c r="N45" i="17" s="1"/>
  <c r="N149" i="17" s="1"/>
  <c r="N151" i="17" s="1"/>
  <c r="R94" i="17"/>
  <c r="S92" i="17"/>
  <c r="V95" i="18" l="1"/>
  <c r="N55" i="20"/>
  <c r="O40" i="20"/>
  <c r="N39" i="20"/>
  <c r="N43" i="20" s="1"/>
  <c r="N45" i="20" s="1"/>
  <c r="N155" i="20" s="1"/>
  <c r="N157" i="20" s="1"/>
  <c r="M70" i="20"/>
  <c r="M69" i="20" s="1"/>
  <c r="M73" i="20" s="1"/>
  <c r="M75" i="20" s="1"/>
  <c r="M181" i="20" s="1"/>
  <c r="M183" i="20" s="1"/>
  <c r="M54" i="20"/>
  <c r="M58" i="20" s="1"/>
  <c r="M60" i="20" s="1"/>
  <c r="M168" i="20" s="1"/>
  <c r="M170" i="20" s="1"/>
  <c r="V100" i="20"/>
  <c r="W95" i="20"/>
  <c r="N25" i="20"/>
  <c r="N24" i="20" s="1"/>
  <c r="N28" i="20" s="1"/>
  <c r="N30" i="20" s="1"/>
  <c r="N137" i="20" s="1"/>
  <c r="N139" i="20" s="1"/>
  <c r="O10" i="20"/>
  <c r="N9" i="20"/>
  <c r="N13" i="20" s="1"/>
  <c r="N15" i="20" s="1"/>
  <c r="N119" i="20" s="1"/>
  <c r="N121" i="20" s="1"/>
  <c r="T98" i="18"/>
  <c r="T100" i="18" s="1"/>
  <c r="L55" i="18"/>
  <c r="M40" i="18"/>
  <c r="L39" i="18"/>
  <c r="L43" i="18" s="1"/>
  <c r="L45" i="18" s="1"/>
  <c r="L155" i="18" s="1"/>
  <c r="L157" i="18" s="1"/>
  <c r="M10" i="18"/>
  <c r="L25" i="18"/>
  <c r="L24" i="18" s="1"/>
  <c r="L28" i="18" s="1"/>
  <c r="L30" i="18" s="1"/>
  <c r="L137" i="18" s="1"/>
  <c r="L139" i="18" s="1"/>
  <c r="L9" i="18"/>
  <c r="L13" i="18" s="1"/>
  <c r="L15" i="18" s="1"/>
  <c r="L119" i="18" s="1"/>
  <c r="L121" i="18" s="1"/>
  <c r="K70" i="18"/>
  <c r="K69" i="18" s="1"/>
  <c r="K73" i="18" s="1"/>
  <c r="K75" i="18" s="1"/>
  <c r="K181" i="18" s="1"/>
  <c r="K183" i="18" s="1"/>
  <c r="K54" i="18"/>
  <c r="K58" i="18" s="1"/>
  <c r="K60" i="18" s="1"/>
  <c r="K168" i="18" s="1"/>
  <c r="K170" i="18" s="1"/>
  <c r="N70" i="17"/>
  <c r="N69" i="17" s="1"/>
  <c r="N73" i="17" s="1"/>
  <c r="N75" i="17" s="1"/>
  <c r="N175" i="17" s="1"/>
  <c r="N177" i="17" s="1"/>
  <c r="N54" i="17"/>
  <c r="N58" i="17" s="1"/>
  <c r="N60" i="17" s="1"/>
  <c r="N162" i="17" s="1"/>
  <c r="N164" i="17" s="1"/>
  <c r="M10" i="17"/>
  <c r="L25" i="17"/>
  <c r="L24" i="17" s="1"/>
  <c r="L28" i="17" s="1"/>
  <c r="L30" i="17" s="1"/>
  <c r="L131" i="17" s="1"/>
  <c r="L133" i="17" s="1"/>
  <c r="L9" i="17"/>
  <c r="L13" i="17" s="1"/>
  <c r="L15" i="17" s="1"/>
  <c r="L113" i="17" s="1"/>
  <c r="L115" i="17" s="1"/>
  <c r="T92" i="17"/>
  <c r="S94" i="17"/>
  <c r="P40" i="17"/>
  <c r="O55" i="17"/>
  <c r="O39" i="17"/>
  <c r="O43" i="17" s="1"/>
  <c r="O45" i="17" s="1"/>
  <c r="O149" i="17" s="1"/>
  <c r="O151" i="17" s="1"/>
  <c r="W95" i="18" l="1"/>
  <c r="X95" i="20"/>
  <c r="W100" i="20"/>
  <c r="O25" i="20"/>
  <c r="O24" i="20" s="1"/>
  <c r="O28" i="20" s="1"/>
  <c r="O30" i="20" s="1"/>
  <c r="O137" i="20" s="1"/>
  <c r="O139" i="20" s="1"/>
  <c r="P10" i="20"/>
  <c r="O9" i="20"/>
  <c r="O13" i="20" s="1"/>
  <c r="O15" i="20" s="1"/>
  <c r="O119" i="20" s="1"/>
  <c r="O121" i="20" s="1"/>
  <c r="O55" i="20"/>
  <c r="P40" i="20"/>
  <c r="O39" i="20"/>
  <c r="O43" i="20" s="1"/>
  <c r="O45" i="20" s="1"/>
  <c r="O155" i="20" s="1"/>
  <c r="O157" i="20" s="1"/>
  <c r="N70" i="20"/>
  <c r="N69" i="20" s="1"/>
  <c r="N73" i="20" s="1"/>
  <c r="N75" i="20" s="1"/>
  <c r="N181" i="20" s="1"/>
  <c r="N183" i="20" s="1"/>
  <c r="N54" i="20"/>
  <c r="N58" i="20" s="1"/>
  <c r="N60" i="20" s="1"/>
  <c r="N168" i="20" s="1"/>
  <c r="N170" i="20" s="1"/>
  <c r="M55" i="18"/>
  <c r="N40" i="18"/>
  <c r="M39" i="18"/>
  <c r="M43" i="18" s="1"/>
  <c r="M45" i="18" s="1"/>
  <c r="M155" i="18" s="1"/>
  <c r="M157" i="18" s="1"/>
  <c r="L70" i="18"/>
  <c r="L69" i="18" s="1"/>
  <c r="L73" i="18" s="1"/>
  <c r="L75" i="18" s="1"/>
  <c r="L181" i="18" s="1"/>
  <c r="L183" i="18" s="1"/>
  <c r="L54" i="18"/>
  <c r="L58" i="18" s="1"/>
  <c r="L60" i="18" s="1"/>
  <c r="L168" i="18" s="1"/>
  <c r="L170" i="18" s="1"/>
  <c r="M25" i="18"/>
  <c r="M24" i="18" s="1"/>
  <c r="M28" i="18" s="1"/>
  <c r="M30" i="18" s="1"/>
  <c r="M137" i="18" s="1"/>
  <c r="M139" i="18" s="1"/>
  <c r="N10" i="18"/>
  <c r="M9" i="18"/>
  <c r="M13" i="18" s="1"/>
  <c r="M15" i="18" s="1"/>
  <c r="M119" i="18" s="1"/>
  <c r="M121" i="18" s="1"/>
  <c r="U98" i="18"/>
  <c r="U100" i="18" s="1"/>
  <c r="O70" i="17"/>
  <c r="O69" i="17" s="1"/>
  <c r="O73" i="17" s="1"/>
  <c r="O75" i="17" s="1"/>
  <c r="O175" i="17" s="1"/>
  <c r="O177" i="17" s="1"/>
  <c r="O54" i="17"/>
  <c r="O58" i="17" s="1"/>
  <c r="O60" i="17" s="1"/>
  <c r="O162" i="17" s="1"/>
  <c r="O164" i="17" s="1"/>
  <c r="Q40" i="17"/>
  <c r="P39" i="17"/>
  <c r="P43" i="17" s="1"/>
  <c r="P45" i="17" s="1"/>
  <c r="P149" i="17" s="1"/>
  <c r="P151" i="17" s="1"/>
  <c r="P55" i="17"/>
  <c r="T94" i="17"/>
  <c r="U92" i="17"/>
  <c r="M25" i="17"/>
  <c r="M24" i="17" s="1"/>
  <c r="M28" i="17" s="1"/>
  <c r="M30" i="17" s="1"/>
  <c r="M131" i="17" s="1"/>
  <c r="M133" i="17" s="1"/>
  <c r="N10" i="17"/>
  <c r="M9" i="17"/>
  <c r="M13" i="17" s="1"/>
  <c r="M15" i="17" s="1"/>
  <c r="M113" i="17" s="1"/>
  <c r="M115" i="17" s="1"/>
  <c r="X95" i="18" l="1"/>
  <c r="O70" i="20"/>
  <c r="O69" i="20" s="1"/>
  <c r="O73" i="20" s="1"/>
  <c r="O75" i="20" s="1"/>
  <c r="O181" i="20" s="1"/>
  <c r="O183" i="20" s="1"/>
  <c r="O54" i="20"/>
  <c r="O58" i="20" s="1"/>
  <c r="O60" i="20" s="1"/>
  <c r="O168" i="20" s="1"/>
  <c r="O170" i="20" s="1"/>
  <c r="P55" i="20"/>
  <c r="Q40" i="20"/>
  <c r="P39" i="20"/>
  <c r="P43" i="20" s="1"/>
  <c r="P45" i="20" s="1"/>
  <c r="P155" i="20" s="1"/>
  <c r="P157" i="20" s="1"/>
  <c r="P25" i="20"/>
  <c r="P24" i="20" s="1"/>
  <c r="P28" i="20" s="1"/>
  <c r="P30" i="20" s="1"/>
  <c r="P137" i="20" s="1"/>
  <c r="P139" i="20" s="1"/>
  <c r="Q10" i="20"/>
  <c r="P9" i="20"/>
  <c r="P13" i="20" s="1"/>
  <c r="P15" i="20" s="1"/>
  <c r="P119" i="20" s="1"/>
  <c r="P121" i="20" s="1"/>
  <c r="Y95" i="20"/>
  <c r="X100" i="20"/>
  <c r="N25" i="18"/>
  <c r="N24" i="18" s="1"/>
  <c r="N28" i="18" s="1"/>
  <c r="N30" i="18" s="1"/>
  <c r="N137" i="18" s="1"/>
  <c r="N139" i="18" s="1"/>
  <c r="O10" i="18"/>
  <c r="N9" i="18"/>
  <c r="N13" i="18" s="1"/>
  <c r="N15" i="18" s="1"/>
  <c r="N119" i="18" s="1"/>
  <c r="N121" i="18" s="1"/>
  <c r="N55" i="18"/>
  <c r="O40" i="18"/>
  <c r="N39" i="18"/>
  <c r="N43" i="18" s="1"/>
  <c r="N45" i="18" s="1"/>
  <c r="N155" i="18" s="1"/>
  <c r="N157" i="18" s="1"/>
  <c r="V98" i="18"/>
  <c r="V100" i="18" s="1"/>
  <c r="M70" i="18"/>
  <c r="M69" i="18" s="1"/>
  <c r="M73" i="18" s="1"/>
  <c r="M75" i="18" s="1"/>
  <c r="M181" i="18" s="1"/>
  <c r="M183" i="18" s="1"/>
  <c r="M54" i="18"/>
  <c r="M58" i="18" s="1"/>
  <c r="M60" i="18" s="1"/>
  <c r="M168" i="18" s="1"/>
  <c r="M170" i="18" s="1"/>
  <c r="N25" i="17"/>
  <c r="N24" i="17" s="1"/>
  <c r="N28" i="17" s="1"/>
  <c r="N30" i="17" s="1"/>
  <c r="N131" i="17" s="1"/>
  <c r="N133" i="17" s="1"/>
  <c r="O10" i="17"/>
  <c r="N9" i="17"/>
  <c r="N13" i="17" s="1"/>
  <c r="N15" i="17" s="1"/>
  <c r="N113" i="17" s="1"/>
  <c r="N115" i="17" s="1"/>
  <c r="V92" i="17"/>
  <c r="U94" i="17"/>
  <c r="Q55" i="17"/>
  <c r="R40" i="17"/>
  <c r="Q39" i="17"/>
  <c r="Q43" i="17" s="1"/>
  <c r="Q45" i="17" s="1"/>
  <c r="Q149" i="17" s="1"/>
  <c r="Q151" i="17" s="1"/>
  <c r="P70" i="17"/>
  <c r="P69" i="17" s="1"/>
  <c r="P73" i="17" s="1"/>
  <c r="P75" i="17" s="1"/>
  <c r="P175" i="17" s="1"/>
  <c r="P177" i="17" s="1"/>
  <c r="P54" i="17"/>
  <c r="P58" i="17" s="1"/>
  <c r="P60" i="17" s="1"/>
  <c r="P162" i="17" s="1"/>
  <c r="P164" i="17" s="1"/>
  <c r="Y95" i="18" l="1"/>
  <c r="R40" i="20"/>
  <c r="Q55" i="20"/>
  <c r="Q39" i="20"/>
  <c r="Q43" i="20" s="1"/>
  <c r="Q45" i="20" s="1"/>
  <c r="Q155" i="20" s="1"/>
  <c r="Q157" i="20" s="1"/>
  <c r="R10" i="20"/>
  <c r="Q25" i="20"/>
  <c r="Q24" i="20" s="1"/>
  <c r="Q28" i="20" s="1"/>
  <c r="Q30" i="20" s="1"/>
  <c r="Q137" i="20" s="1"/>
  <c r="Q139" i="20" s="1"/>
  <c r="Q9" i="20"/>
  <c r="Q13" i="20" s="1"/>
  <c r="Q15" i="20" s="1"/>
  <c r="Q119" i="20" s="1"/>
  <c r="Q121" i="20" s="1"/>
  <c r="P70" i="20"/>
  <c r="P69" i="20" s="1"/>
  <c r="P73" i="20" s="1"/>
  <c r="P75" i="20" s="1"/>
  <c r="P181" i="20" s="1"/>
  <c r="P183" i="20" s="1"/>
  <c r="P54" i="20"/>
  <c r="P58" i="20" s="1"/>
  <c r="P60" i="20" s="1"/>
  <c r="P168" i="20" s="1"/>
  <c r="P170" i="20" s="1"/>
  <c r="Y100" i="20"/>
  <c r="Z95" i="20"/>
  <c r="O55" i="18"/>
  <c r="P40" i="18"/>
  <c r="O39" i="18"/>
  <c r="O43" i="18" s="1"/>
  <c r="O45" i="18" s="1"/>
  <c r="O155" i="18" s="1"/>
  <c r="O157" i="18" s="1"/>
  <c r="N70" i="18"/>
  <c r="N69" i="18" s="1"/>
  <c r="N73" i="18" s="1"/>
  <c r="N75" i="18" s="1"/>
  <c r="N181" i="18" s="1"/>
  <c r="N183" i="18" s="1"/>
  <c r="N54" i="18"/>
  <c r="N58" i="18" s="1"/>
  <c r="N60" i="18" s="1"/>
  <c r="N168" i="18" s="1"/>
  <c r="N170" i="18" s="1"/>
  <c r="W98" i="18"/>
  <c r="W100" i="18" s="1"/>
  <c r="O25" i="18"/>
  <c r="O24" i="18" s="1"/>
  <c r="O28" i="18" s="1"/>
  <c r="O30" i="18" s="1"/>
  <c r="O137" i="18" s="1"/>
  <c r="O139" i="18" s="1"/>
  <c r="P10" i="18"/>
  <c r="O9" i="18"/>
  <c r="O13" i="18" s="1"/>
  <c r="O15" i="18" s="1"/>
  <c r="O119" i="18" s="1"/>
  <c r="O121" i="18" s="1"/>
  <c r="Q70" i="17"/>
  <c r="Q69" i="17" s="1"/>
  <c r="Q73" i="17" s="1"/>
  <c r="Q75" i="17" s="1"/>
  <c r="Q175" i="17" s="1"/>
  <c r="Q177" i="17" s="1"/>
  <c r="Q54" i="17"/>
  <c r="Q58" i="17" s="1"/>
  <c r="Q60" i="17" s="1"/>
  <c r="Q162" i="17" s="1"/>
  <c r="Q164" i="17" s="1"/>
  <c r="S40" i="17"/>
  <c r="R39" i="17"/>
  <c r="R43" i="17" s="1"/>
  <c r="R45" i="17" s="1"/>
  <c r="R149" i="17" s="1"/>
  <c r="R151" i="17" s="1"/>
  <c r="R55" i="17"/>
  <c r="W92" i="17"/>
  <c r="V94" i="17"/>
  <c r="P10" i="17"/>
  <c r="O25" i="17"/>
  <c r="O24" i="17" s="1"/>
  <c r="O28" i="17" s="1"/>
  <c r="O30" i="17" s="1"/>
  <c r="O131" i="17" s="1"/>
  <c r="O133" i="17" s="1"/>
  <c r="O9" i="17"/>
  <c r="O13" i="17" s="1"/>
  <c r="O15" i="17" s="1"/>
  <c r="O113" i="17" s="1"/>
  <c r="O115" i="17" s="1"/>
  <c r="Z95" i="18" l="1"/>
  <c r="R25" i="20"/>
  <c r="R24" i="20" s="1"/>
  <c r="R28" i="20" s="1"/>
  <c r="R30" i="20" s="1"/>
  <c r="R137" i="20" s="1"/>
  <c r="R139" i="20" s="1"/>
  <c r="S10" i="20"/>
  <c r="R9" i="20"/>
  <c r="R13" i="20" s="1"/>
  <c r="R15" i="20" s="1"/>
  <c r="R119" i="20" s="1"/>
  <c r="R121" i="20" s="1"/>
  <c r="Z100" i="20"/>
  <c r="AA95" i="20"/>
  <c r="Q70" i="20"/>
  <c r="Q69" i="20" s="1"/>
  <c r="Q73" i="20" s="1"/>
  <c r="Q75" i="20" s="1"/>
  <c r="Q181" i="20" s="1"/>
  <c r="Q183" i="20" s="1"/>
  <c r="Q54" i="20"/>
  <c r="Q58" i="20" s="1"/>
  <c r="Q60" i="20" s="1"/>
  <c r="Q168" i="20" s="1"/>
  <c r="Q170" i="20" s="1"/>
  <c r="R55" i="20"/>
  <c r="S40" i="20"/>
  <c r="R39" i="20"/>
  <c r="R43" i="20" s="1"/>
  <c r="R45" i="20" s="1"/>
  <c r="R155" i="20" s="1"/>
  <c r="R157" i="20" s="1"/>
  <c r="X98" i="18"/>
  <c r="X100" i="18" s="1"/>
  <c r="Q40" i="18"/>
  <c r="P55" i="18"/>
  <c r="P39" i="18"/>
  <c r="P43" i="18" s="1"/>
  <c r="P45" i="18" s="1"/>
  <c r="P155" i="18" s="1"/>
  <c r="P157" i="18" s="1"/>
  <c r="Q10" i="18"/>
  <c r="P25" i="18"/>
  <c r="P24" i="18" s="1"/>
  <c r="P28" i="18" s="1"/>
  <c r="P30" i="18" s="1"/>
  <c r="P137" i="18" s="1"/>
  <c r="P139" i="18" s="1"/>
  <c r="P9" i="18"/>
  <c r="P13" i="18" s="1"/>
  <c r="P15" i="18" s="1"/>
  <c r="P119" i="18" s="1"/>
  <c r="P121" i="18" s="1"/>
  <c r="O70" i="18"/>
  <c r="O69" i="18" s="1"/>
  <c r="O73" i="18" s="1"/>
  <c r="O75" i="18" s="1"/>
  <c r="O181" i="18" s="1"/>
  <c r="O183" i="18" s="1"/>
  <c r="O54" i="18"/>
  <c r="O58" i="18" s="1"/>
  <c r="O60" i="18" s="1"/>
  <c r="O168" i="18" s="1"/>
  <c r="O170" i="18" s="1"/>
  <c r="Q10" i="17"/>
  <c r="P25" i="17"/>
  <c r="P24" i="17" s="1"/>
  <c r="P28" i="17" s="1"/>
  <c r="P30" i="17" s="1"/>
  <c r="P131" i="17" s="1"/>
  <c r="P133" i="17" s="1"/>
  <c r="P9" i="17"/>
  <c r="P13" i="17" s="1"/>
  <c r="P15" i="17" s="1"/>
  <c r="P113" i="17" s="1"/>
  <c r="P115" i="17" s="1"/>
  <c r="W94" i="17"/>
  <c r="X92" i="17"/>
  <c r="R70" i="17"/>
  <c r="R69" i="17" s="1"/>
  <c r="R73" i="17" s="1"/>
  <c r="R75" i="17" s="1"/>
  <c r="R175" i="17" s="1"/>
  <c r="R177" i="17" s="1"/>
  <c r="R54" i="17"/>
  <c r="R58" i="17" s="1"/>
  <c r="R60" i="17" s="1"/>
  <c r="R162" i="17" s="1"/>
  <c r="R164" i="17" s="1"/>
  <c r="S55" i="17"/>
  <c r="T40" i="17"/>
  <c r="S39" i="17"/>
  <c r="S43" i="17" s="1"/>
  <c r="S45" i="17" s="1"/>
  <c r="S149" i="17" s="1"/>
  <c r="S151" i="17" s="1"/>
  <c r="AA95" i="18" l="1"/>
  <c r="R70" i="20"/>
  <c r="R69" i="20" s="1"/>
  <c r="R73" i="20" s="1"/>
  <c r="R75" i="20" s="1"/>
  <c r="R181" i="20" s="1"/>
  <c r="R183" i="20" s="1"/>
  <c r="R54" i="20"/>
  <c r="R58" i="20" s="1"/>
  <c r="R60" i="20" s="1"/>
  <c r="R168" i="20" s="1"/>
  <c r="R170" i="20" s="1"/>
  <c r="AB95" i="20"/>
  <c r="AA100" i="20"/>
  <c r="S25" i="20"/>
  <c r="S24" i="20" s="1"/>
  <c r="S28" i="20" s="1"/>
  <c r="S30" i="20" s="1"/>
  <c r="S137" i="20" s="1"/>
  <c r="S139" i="20" s="1"/>
  <c r="S9" i="20"/>
  <c r="S13" i="20" s="1"/>
  <c r="S15" i="20" s="1"/>
  <c r="S119" i="20" s="1"/>
  <c r="S121" i="20" s="1"/>
  <c r="T10" i="20"/>
  <c r="S55" i="20"/>
  <c r="T40" i="20"/>
  <c r="S39" i="20"/>
  <c r="S43" i="20" s="1"/>
  <c r="S45" i="20" s="1"/>
  <c r="S155" i="20" s="1"/>
  <c r="S157" i="20" s="1"/>
  <c r="Q25" i="18"/>
  <c r="Q24" i="18" s="1"/>
  <c r="Q28" i="18" s="1"/>
  <c r="Q30" i="18" s="1"/>
  <c r="Q137" i="18" s="1"/>
  <c r="Q139" i="18" s="1"/>
  <c r="R10" i="18"/>
  <c r="Q9" i="18"/>
  <c r="Q13" i="18" s="1"/>
  <c r="Q15" i="18" s="1"/>
  <c r="Q119" i="18" s="1"/>
  <c r="Q121" i="18" s="1"/>
  <c r="P70" i="18"/>
  <c r="P69" i="18" s="1"/>
  <c r="P73" i="18" s="1"/>
  <c r="P75" i="18" s="1"/>
  <c r="P181" i="18" s="1"/>
  <c r="P183" i="18" s="1"/>
  <c r="P54" i="18"/>
  <c r="P58" i="18" s="1"/>
  <c r="P60" i="18" s="1"/>
  <c r="P168" i="18" s="1"/>
  <c r="P170" i="18" s="1"/>
  <c r="R40" i="18"/>
  <c r="Q55" i="18"/>
  <c r="Q39" i="18"/>
  <c r="Q43" i="18" s="1"/>
  <c r="Q45" i="18" s="1"/>
  <c r="Q155" i="18" s="1"/>
  <c r="Q157" i="18" s="1"/>
  <c r="Y98" i="18"/>
  <c r="Y100" i="18" s="1"/>
  <c r="X94" i="17"/>
  <c r="Y92" i="17"/>
  <c r="S70" i="17"/>
  <c r="S69" i="17" s="1"/>
  <c r="S73" i="17" s="1"/>
  <c r="S75" i="17" s="1"/>
  <c r="S175" i="17" s="1"/>
  <c r="S177" i="17" s="1"/>
  <c r="S54" i="17"/>
  <c r="S58" i="17" s="1"/>
  <c r="S60" i="17" s="1"/>
  <c r="S162" i="17" s="1"/>
  <c r="S164" i="17" s="1"/>
  <c r="U40" i="17"/>
  <c r="T55" i="17"/>
  <c r="T39" i="17"/>
  <c r="T43" i="17" s="1"/>
  <c r="T45" i="17" s="1"/>
  <c r="T149" i="17" s="1"/>
  <c r="T151" i="17" s="1"/>
  <c r="Q25" i="17"/>
  <c r="Q24" i="17" s="1"/>
  <c r="Q28" i="17" s="1"/>
  <c r="Q30" i="17" s="1"/>
  <c r="Q131" i="17" s="1"/>
  <c r="Q133" i="17" s="1"/>
  <c r="R10" i="17"/>
  <c r="Q9" i="17"/>
  <c r="Q13" i="17" s="1"/>
  <c r="Q15" i="17" s="1"/>
  <c r="Q113" i="17" s="1"/>
  <c r="Q115" i="17" s="1"/>
  <c r="AB95" i="18" l="1"/>
  <c r="T9" i="20"/>
  <c r="T13" i="20" s="1"/>
  <c r="T15" i="20" s="1"/>
  <c r="T119" i="20" s="1"/>
  <c r="T121" i="20" s="1"/>
  <c r="T25" i="20"/>
  <c r="T24" i="20" s="1"/>
  <c r="T28" i="20" s="1"/>
  <c r="T30" i="20" s="1"/>
  <c r="T137" i="20" s="1"/>
  <c r="T139" i="20" s="1"/>
  <c r="U10" i="20"/>
  <c r="AC95" i="20"/>
  <c r="AB100" i="20"/>
  <c r="S70" i="20"/>
  <c r="S69" i="20" s="1"/>
  <c r="S73" i="20" s="1"/>
  <c r="S75" i="20" s="1"/>
  <c r="S181" i="20" s="1"/>
  <c r="S183" i="20" s="1"/>
  <c r="S54" i="20"/>
  <c r="S58" i="20" s="1"/>
  <c r="S60" i="20" s="1"/>
  <c r="S168" i="20" s="1"/>
  <c r="S170" i="20" s="1"/>
  <c r="U40" i="20"/>
  <c r="T55" i="20"/>
  <c r="T39" i="20"/>
  <c r="T43" i="20" s="1"/>
  <c r="T45" i="20" s="1"/>
  <c r="T155" i="20" s="1"/>
  <c r="T157" i="20" s="1"/>
  <c r="Q70" i="18"/>
  <c r="Q69" i="18" s="1"/>
  <c r="Q73" i="18" s="1"/>
  <c r="Q75" i="18" s="1"/>
  <c r="Q181" i="18" s="1"/>
  <c r="Q183" i="18" s="1"/>
  <c r="Q54" i="18"/>
  <c r="Q58" i="18" s="1"/>
  <c r="Q60" i="18" s="1"/>
  <c r="Q168" i="18" s="1"/>
  <c r="Q170" i="18" s="1"/>
  <c r="R55" i="18"/>
  <c r="S40" i="18"/>
  <c r="R39" i="18"/>
  <c r="R43" i="18" s="1"/>
  <c r="R45" i="18" s="1"/>
  <c r="R155" i="18" s="1"/>
  <c r="R157" i="18" s="1"/>
  <c r="Z98" i="18"/>
  <c r="Z100" i="18" s="1"/>
  <c r="R25" i="18"/>
  <c r="R24" i="18" s="1"/>
  <c r="R28" i="18" s="1"/>
  <c r="R30" i="18" s="1"/>
  <c r="R137" i="18" s="1"/>
  <c r="R139" i="18" s="1"/>
  <c r="S10" i="18"/>
  <c r="R9" i="18"/>
  <c r="R13" i="18" s="1"/>
  <c r="R15" i="18" s="1"/>
  <c r="R119" i="18" s="1"/>
  <c r="R121" i="18" s="1"/>
  <c r="T70" i="17"/>
  <c r="T69" i="17" s="1"/>
  <c r="T73" i="17" s="1"/>
  <c r="T75" i="17" s="1"/>
  <c r="T175" i="17" s="1"/>
  <c r="T177" i="17" s="1"/>
  <c r="T54" i="17"/>
  <c r="T58" i="17" s="1"/>
  <c r="T60" i="17" s="1"/>
  <c r="T162" i="17" s="1"/>
  <c r="T164" i="17" s="1"/>
  <c r="U55" i="17"/>
  <c r="V40" i="17"/>
  <c r="U39" i="17"/>
  <c r="U43" i="17" s="1"/>
  <c r="U45" i="17" s="1"/>
  <c r="U149" i="17" s="1"/>
  <c r="U151" i="17" s="1"/>
  <c r="Y94" i="17"/>
  <c r="Z92" i="17"/>
  <c r="R25" i="17"/>
  <c r="R24" i="17" s="1"/>
  <c r="R28" i="17" s="1"/>
  <c r="R30" i="17" s="1"/>
  <c r="R131" i="17" s="1"/>
  <c r="R133" i="17" s="1"/>
  <c r="S10" i="17"/>
  <c r="R9" i="17"/>
  <c r="R13" i="17" s="1"/>
  <c r="R15" i="17" s="1"/>
  <c r="R113" i="17" s="1"/>
  <c r="R115" i="17" s="1"/>
  <c r="AC95" i="18" l="1"/>
  <c r="AD95" i="20"/>
  <c r="AC100" i="20"/>
  <c r="U9" i="20"/>
  <c r="U13" i="20" s="1"/>
  <c r="U15" i="20" s="1"/>
  <c r="U119" i="20" s="1"/>
  <c r="U121" i="20" s="1"/>
  <c r="U25" i="20"/>
  <c r="U24" i="20" s="1"/>
  <c r="U28" i="20" s="1"/>
  <c r="U30" i="20" s="1"/>
  <c r="U137" i="20" s="1"/>
  <c r="U139" i="20" s="1"/>
  <c r="V10" i="20"/>
  <c r="V40" i="20"/>
  <c r="U55" i="20"/>
  <c r="U39" i="20"/>
  <c r="U43" i="20" s="1"/>
  <c r="U45" i="20" s="1"/>
  <c r="U155" i="20" s="1"/>
  <c r="U157" i="20" s="1"/>
  <c r="T70" i="20"/>
  <c r="T69" i="20" s="1"/>
  <c r="T73" i="20" s="1"/>
  <c r="T75" i="20" s="1"/>
  <c r="T181" i="20" s="1"/>
  <c r="T183" i="20" s="1"/>
  <c r="T54" i="20"/>
  <c r="T58" i="20" s="1"/>
  <c r="T60" i="20" s="1"/>
  <c r="T168" i="20" s="1"/>
  <c r="T170" i="20" s="1"/>
  <c r="S55" i="18"/>
  <c r="T40" i="18"/>
  <c r="S39" i="18"/>
  <c r="S43" i="18" s="1"/>
  <c r="S45" i="18" s="1"/>
  <c r="S155" i="18" s="1"/>
  <c r="S157" i="18" s="1"/>
  <c r="AA98" i="18"/>
  <c r="AA100" i="18" s="1"/>
  <c r="R70" i="18"/>
  <c r="R69" i="18" s="1"/>
  <c r="R73" i="18" s="1"/>
  <c r="R75" i="18" s="1"/>
  <c r="R181" i="18" s="1"/>
  <c r="R183" i="18" s="1"/>
  <c r="R54" i="18"/>
  <c r="R58" i="18" s="1"/>
  <c r="R60" i="18" s="1"/>
  <c r="R168" i="18" s="1"/>
  <c r="R170" i="18" s="1"/>
  <c r="S25" i="18"/>
  <c r="S24" i="18" s="1"/>
  <c r="S28" i="18" s="1"/>
  <c r="S30" i="18" s="1"/>
  <c r="S137" i="18" s="1"/>
  <c r="S139" i="18" s="1"/>
  <c r="T10" i="18"/>
  <c r="S9" i="18"/>
  <c r="S13" i="18" s="1"/>
  <c r="S15" i="18" s="1"/>
  <c r="S119" i="18" s="1"/>
  <c r="S121" i="18" s="1"/>
  <c r="Z94" i="17"/>
  <c r="AA92" i="17"/>
  <c r="V55" i="17"/>
  <c r="W40" i="17"/>
  <c r="V39" i="17"/>
  <c r="V43" i="17" s="1"/>
  <c r="V45" i="17" s="1"/>
  <c r="V149" i="17" s="1"/>
  <c r="V151" i="17" s="1"/>
  <c r="U70" i="17"/>
  <c r="U69" i="17" s="1"/>
  <c r="U73" i="17" s="1"/>
  <c r="U75" i="17" s="1"/>
  <c r="U175" i="17" s="1"/>
  <c r="U177" i="17" s="1"/>
  <c r="U54" i="17"/>
  <c r="U58" i="17" s="1"/>
  <c r="U60" i="17" s="1"/>
  <c r="U162" i="17" s="1"/>
  <c r="U164" i="17" s="1"/>
  <c r="S25" i="17"/>
  <c r="S24" i="17" s="1"/>
  <c r="S28" i="17" s="1"/>
  <c r="S30" i="17" s="1"/>
  <c r="S131" i="17" s="1"/>
  <c r="S133" i="17" s="1"/>
  <c r="T10" i="17"/>
  <c r="S9" i="17"/>
  <c r="S13" i="17" s="1"/>
  <c r="S15" i="17" s="1"/>
  <c r="S113" i="17" s="1"/>
  <c r="S115" i="17" s="1"/>
  <c r="AD95" i="18" l="1"/>
  <c r="V55" i="20"/>
  <c r="W40" i="20"/>
  <c r="V39" i="20"/>
  <c r="V43" i="20" s="1"/>
  <c r="V45" i="20" s="1"/>
  <c r="V155" i="20" s="1"/>
  <c r="V157" i="20" s="1"/>
  <c r="V25" i="20"/>
  <c r="V24" i="20" s="1"/>
  <c r="V28" i="20" s="1"/>
  <c r="V30" i="20" s="1"/>
  <c r="V137" i="20" s="1"/>
  <c r="V139" i="20" s="1"/>
  <c r="W10" i="20"/>
  <c r="V9" i="20"/>
  <c r="V13" i="20" s="1"/>
  <c r="V15" i="20" s="1"/>
  <c r="V119" i="20" s="1"/>
  <c r="V121" i="20" s="1"/>
  <c r="U70" i="20"/>
  <c r="U69" i="20" s="1"/>
  <c r="U73" i="20" s="1"/>
  <c r="U75" i="20" s="1"/>
  <c r="U181" i="20" s="1"/>
  <c r="U183" i="20" s="1"/>
  <c r="U54" i="20"/>
  <c r="U58" i="20" s="1"/>
  <c r="U60" i="20" s="1"/>
  <c r="U168" i="20" s="1"/>
  <c r="U170" i="20" s="1"/>
  <c r="AD100" i="20"/>
  <c r="AE95" i="20"/>
  <c r="AE100" i="20" s="1"/>
  <c r="AB98" i="18"/>
  <c r="AB100" i="18" s="1"/>
  <c r="T55" i="18"/>
  <c r="U40" i="18"/>
  <c r="T39" i="18"/>
  <c r="T43" i="18" s="1"/>
  <c r="T45" i="18" s="1"/>
  <c r="T155" i="18" s="1"/>
  <c r="T157" i="18" s="1"/>
  <c r="U10" i="18"/>
  <c r="T25" i="18"/>
  <c r="T24" i="18" s="1"/>
  <c r="T28" i="18" s="1"/>
  <c r="T30" i="18" s="1"/>
  <c r="T137" i="18" s="1"/>
  <c r="T139" i="18" s="1"/>
  <c r="T9" i="18"/>
  <c r="T13" i="18" s="1"/>
  <c r="T15" i="18" s="1"/>
  <c r="T119" i="18" s="1"/>
  <c r="T121" i="18" s="1"/>
  <c r="S70" i="18"/>
  <c r="S69" i="18" s="1"/>
  <c r="S73" i="18" s="1"/>
  <c r="S75" i="18" s="1"/>
  <c r="S181" i="18" s="1"/>
  <c r="S183" i="18" s="1"/>
  <c r="S54" i="18"/>
  <c r="S58" i="18" s="1"/>
  <c r="S60" i="18" s="1"/>
  <c r="S168" i="18" s="1"/>
  <c r="S170" i="18" s="1"/>
  <c r="X40" i="17"/>
  <c r="W55" i="17"/>
  <c r="W39" i="17"/>
  <c r="W43" i="17" s="1"/>
  <c r="W45" i="17" s="1"/>
  <c r="W149" i="17" s="1"/>
  <c r="W151" i="17" s="1"/>
  <c r="V70" i="17"/>
  <c r="V69" i="17" s="1"/>
  <c r="V73" i="17" s="1"/>
  <c r="V75" i="17" s="1"/>
  <c r="V175" i="17" s="1"/>
  <c r="V177" i="17" s="1"/>
  <c r="V54" i="17"/>
  <c r="V58" i="17" s="1"/>
  <c r="V60" i="17" s="1"/>
  <c r="V162" i="17" s="1"/>
  <c r="V164" i="17" s="1"/>
  <c r="AB92" i="17"/>
  <c r="AA94" i="17"/>
  <c r="T25" i="17"/>
  <c r="T24" i="17" s="1"/>
  <c r="T28" i="17" s="1"/>
  <c r="T30" i="17" s="1"/>
  <c r="T131" i="17" s="1"/>
  <c r="T133" i="17" s="1"/>
  <c r="U10" i="17"/>
  <c r="T9" i="17"/>
  <c r="T13" i="17" s="1"/>
  <c r="T15" i="17" s="1"/>
  <c r="T113" i="17" s="1"/>
  <c r="T115" i="17" s="1"/>
  <c r="AE95" i="18" l="1"/>
  <c r="X10" i="20"/>
  <c r="W25" i="20"/>
  <c r="W24" i="20" s="1"/>
  <c r="W28" i="20" s="1"/>
  <c r="W30" i="20" s="1"/>
  <c r="W137" i="20" s="1"/>
  <c r="W139" i="20" s="1"/>
  <c r="W9" i="20"/>
  <c r="W13" i="20" s="1"/>
  <c r="W15" i="20" s="1"/>
  <c r="W119" i="20" s="1"/>
  <c r="W121" i="20" s="1"/>
  <c r="X40" i="20"/>
  <c r="W55" i="20"/>
  <c r="W39" i="20"/>
  <c r="W43" i="20" s="1"/>
  <c r="W45" i="20" s="1"/>
  <c r="W155" i="20" s="1"/>
  <c r="W157" i="20" s="1"/>
  <c r="V70" i="20"/>
  <c r="V69" i="20" s="1"/>
  <c r="V73" i="20" s="1"/>
  <c r="V75" i="20" s="1"/>
  <c r="V181" i="20" s="1"/>
  <c r="V183" i="20" s="1"/>
  <c r="V54" i="20"/>
  <c r="V58" i="20" s="1"/>
  <c r="V60" i="20" s="1"/>
  <c r="V168" i="20" s="1"/>
  <c r="V170" i="20" s="1"/>
  <c r="U25" i="18"/>
  <c r="U24" i="18" s="1"/>
  <c r="U28" i="18" s="1"/>
  <c r="U30" i="18" s="1"/>
  <c r="U137" i="18" s="1"/>
  <c r="U139" i="18" s="1"/>
  <c r="V10" i="18"/>
  <c r="U9" i="18"/>
  <c r="U13" i="18" s="1"/>
  <c r="U15" i="18" s="1"/>
  <c r="U119" i="18" s="1"/>
  <c r="U121" i="18" s="1"/>
  <c r="U55" i="18"/>
  <c r="V40" i="18"/>
  <c r="U39" i="18"/>
  <c r="U43" i="18" s="1"/>
  <c r="U45" i="18" s="1"/>
  <c r="U155" i="18" s="1"/>
  <c r="U157" i="18" s="1"/>
  <c r="T70" i="18"/>
  <c r="T69" i="18" s="1"/>
  <c r="T73" i="18" s="1"/>
  <c r="T75" i="18" s="1"/>
  <c r="T181" i="18" s="1"/>
  <c r="T183" i="18" s="1"/>
  <c r="T54" i="18"/>
  <c r="T58" i="18" s="1"/>
  <c r="T60" i="18" s="1"/>
  <c r="T168" i="18" s="1"/>
  <c r="T170" i="18" s="1"/>
  <c r="AC98" i="18"/>
  <c r="AC100" i="18" s="1"/>
  <c r="X55" i="17"/>
  <c r="Y40" i="17"/>
  <c r="X39" i="17"/>
  <c r="X43" i="17" s="1"/>
  <c r="X45" i="17" s="1"/>
  <c r="X149" i="17" s="1"/>
  <c r="X151" i="17" s="1"/>
  <c r="U25" i="17"/>
  <c r="U24" i="17" s="1"/>
  <c r="U28" i="17" s="1"/>
  <c r="U30" i="17" s="1"/>
  <c r="U131" i="17" s="1"/>
  <c r="U133" i="17" s="1"/>
  <c r="V10" i="17"/>
  <c r="U9" i="17"/>
  <c r="U13" i="17" s="1"/>
  <c r="U15" i="17" s="1"/>
  <c r="U113" i="17" s="1"/>
  <c r="U115" i="17" s="1"/>
  <c r="AB94" i="17"/>
  <c r="AC92" i="17"/>
  <c r="W54" i="17"/>
  <c r="W58" i="17" s="1"/>
  <c r="W60" i="17" s="1"/>
  <c r="W162" i="17" s="1"/>
  <c r="W164" i="17" s="1"/>
  <c r="W70" i="17"/>
  <c r="W69" i="17" s="1"/>
  <c r="W73" i="17" s="1"/>
  <c r="W75" i="17" s="1"/>
  <c r="W175" i="17" s="1"/>
  <c r="W177" i="17" s="1"/>
  <c r="W70" i="20" l="1"/>
  <c r="W69" i="20" s="1"/>
  <c r="W73" i="20" s="1"/>
  <c r="W75" i="20" s="1"/>
  <c r="W181" i="20" s="1"/>
  <c r="W183" i="20" s="1"/>
  <c r="W54" i="20"/>
  <c r="W58" i="20" s="1"/>
  <c r="W60" i="20" s="1"/>
  <c r="W168" i="20" s="1"/>
  <c r="W170" i="20" s="1"/>
  <c r="X55" i="20"/>
  <c r="Y40" i="20"/>
  <c r="X39" i="20"/>
  <c r="X43" i="20" s="1"/>
  <c r="X45" i="20" s="1"/>
  <c r="X155" i="20" s="1"/>
  <c r="X157" i="20" s="1"/>
  <c r="Y10" i="20"/>
  <c r="X25" i="20"/>
  <c r="X24" i="20" s="1"/>
  <c r="X28" i="20" s="1"/>
  <c r="X30" i="20" s="1"/>
  <c r="X137" i="20" s="1"/>
  <c r="X139" i="20" s="1"/>
  <c r="X9" i="20"/>
  <c r="X13" i="20" s="1"/>
  <c r="X15" i="20" s="1"/>
  <c r="X119" i="20" s="1"/>
  <c r="X121" i="20" s="1"/>
  <c r="V55" i="18"/>
  <c r="W40" i="18"/>
  <c r="V39" i="18"/>
  <c r="V43" i="18" s="1"/>
  <c r="V45" i="18" s="1"/>
  <c r="V155" i="18" s="1"/>
  <c r="V157" i="18" s="1"/>
  <c r="U70" i="18"/>
  <c r="U69" i="18" s="1"/>
  <c r="U73" i="18" s="1"/>
  <c r="U75" i="18" s="1"/>
  <c r="U181" i="18" s="1"/>
  <c r="U183" i="18" s="1"/>
  <c r="U54" i="18"/>
  <c r="U58" i="18" s="1"/>
  <c r="U60" i="18" s="1"/>
  <c r="U168" i="18" s="1"/>
  <c r="U170" i="18" s="1"/>
  <c r="V25" i="18"/>
  <c r="V24" i="18" s="1"/>
  <c r="V28" i="18" s="1"/>
  <c r="V30" i="18" s="1"/>
  <c r="V137" i="18" s="1"/>
  <c r="V139" i="18" s="1"/>
  <c r="W10" i="18"/>
  <c r="V9" i="18"/>
  <c r="V13" i="18" s="1"/>
  <c r="V15" i="18" s="1"/>
  <c r="V119" i="18" s="1"/>
  <c r="V121" i="18" s="1"/>
  <c r="AD98" i="18"/>
  <c r="AD100" i="18" s="1"/>
  <c r="AD92" i="17"/>
  <c r="AC94" i="17"/>
  <c r="W10" i="17"/>
  <c r="V25" i="17"/>
  <c r="V24" i="17" s="1"/>
  <c r="V28" i="17" s="1"/>
  <c r="V30" i="17" s="1"/>
  <c r="V131" i="17" s="1"/>
  <c r="V133" i="17" s="1"/>
  <c r="V9" i="17"/>
  <c r="V13" i="17" s="1"/>
  <c r="V15" i="17" s="1"/>
  <c r="V113" i="17" s="1"/>
  <c r="V115" i="17" s="1"/>
  <c r="Y55" i="17"/>
  <c r="Z40" i="17"/>
  <c r="Y39" i="17"/>
  <c r="Y43" i="17" s="1"/>
  <c r="Y45" i="17" s="1"/>
  <c r="Y149" i="17" s="1"/>
  <c r="X70" i="17"/>
  <c r="X69" i="17" s="1"/>
  <c r="X73" i="17" s="1"/>
  <c r="X75" i="17" s="1"/>
  <c r="X175" i="17" s="1"/>
  <c r="X177" i="17" s="1"/>
  <c r="X54" i="17"/>
  <c r="X58" i="17" s="1"/>
  <c r="X60" i="17" s="1"/>
  <c r="X162" i="17" s="1"/>
  <c r="X164" i="17" s="1"/>
  <c r="Z40" i="20" l="1"/>
  <c r="Y39" i="20"/>
  <c r="Y43" i="20" s="1"/>
  <c r="Y45" i="20" s="1"/>
  <c r="Y155" i="20" s="1"/>
  <c r="Y55" i="20"/>
  <c r="X70" i="20"/>
  <c r="X69" i="20" s="1"/>
  <c r="X73" i="20" s="1"/>
  <c r="X75" i="20" s="1"/>
  <c r="X181" i="20" s="1"/>
  <c r="X183" i="20" s="1"/>
  <c r="X54" i="20"/>
  <c r="X58" i="20" s="1"/>
  <c r="X60" i="20" s="1"/>
  <c r="X168" i="20" s="1"/>
  <c r="X170" i="20" s="1"/>
  <c r="Z10" i="20"/>
  <c r="Y25" i="20"/>
  <c r="Y24" i="20" s="1"/>
  <c r="Y28" i="20" s="1"/>
  <c r="Y30" i="20" s="1"/>
  <c r="Y137" i="20" s="1"/>
  <c r="Y9" i="20"/>
  <c r="Y13" i="20" s="1"/>
  <c r="Y15" i="20" s="1"/>
  <c r="Y119" i="20" s="1"/>
  <c r="Y151" i="17"/>
  <c r="W25" i="18"/>
  <c r="W24" i="18" s="1"/>
  <c r="W28" i="18" s="1"/>
  <c r="W30" i="18" s="1"/>
  <c r="W137" i="18" s="1"/>
  <c r="W139" i="18" s="1"/>
  <c r="X10" i="18"/>
  <c r="W9" i="18"/>
  <c r="W13" i="18" s="1"/>
  <c r="W15" i="18" s="1"/>
  <c r="W119" i="18" s="1"/>
  <c r="W121" i="18" s="1"/>
  <c r="W55" i="18"/>
  <c r="X40" i="18"/>
  <c r="W39" i="18"/>
  <c r="W43" i="18" s="1"/>
  <c r="W45" i="18" s="1"/>
  <c r="W155" i="18" s="1"/>
  <c r="W157" i="18" s="1"/>
  <c r="AE98" i="18"/>
  <c r="AE100" i="18" s="1"/>
  <c r="V70" i="18"/>
  <c r="V69" i="18" s="1"/>
  <c r="V73" i="18" s="1"/>
  <c r="V75" i="18" s="1"/>
  <c r="V181" i="18" s="1"/>
  <c r="V183" i="18" s="1"/>
  <c r="V54" i="18"/>
  <c r="V58" i="18" s="1"/>
  <c r="V60" i="18" s="1"/>
  <c r="V168" i="18" s="1"/>
  <c r="V170" i="18" s="1"/>
  <c r="AE92" i="17"/>
  <c r="AE94" i="17" s="1"/>
  <c r="AD94" i="17"/>
  <c r="AE118" i="17"/>
  <c r="AE120" i="17" s="1"/>
  <c r="Z55" i="17"/>
  <c r="AA40" i="17"/>
  <c r="Z39" i="17"/>
  <c r="Z43" i="17" s="1"/>
  <c r="Z45" i="17" s="1"/>
  <c r="Z149" i="17" s="1"/>
  <c r="Z151" i="17" s="1"/>
  <c r="Y70" i="17"/>
  <c r="Y69" i="17" s="1"/>
  <c r="Y73" i="17" s="1"/>
  <c r="Y75" i="17" s="1"/>
  <c r="Y175" i="17" s="1"/>
  <c r="Y54" i="17"/>
  <c r="Y58" i="17" s="1"/>
  <c r="Y60" i="17" s="1"/>
  <c r="Y162" i="17" s="1"/>
  <c r="AE136" i="17"/>
  <c r="AE138" i="17" s="1"/>
  <c r="W25" i="17"/>
  <c r="W24" i="17" s="1"/>
  <c r="W28" i="17" s="1"/>
  <c r="W30" i="17" s="1"/>
  <c r="W131" i="17" s="1"/>
  <c r="W133" i="17" s="1"/>
  <c r="X10" i="17"/>
  <c r="W9" i="17"/>
  <c r="W13" i="17" s="1"/>
  <c r="W15" i="17" s="1"/>
  <c r="W113" i="17" s="1"/>
  <c r="W115" i="17" s="1"/>
  <c r="B104" i="18" l="1"/>
  <c r="B105" i="18"/>
  <c r="Y139" i="20"/>
  <c r="Z55" i="20"/>
  <c r="AA40" i="20"/>
  <c r="Z39" i="20"/>
  <c r="Z43" i="20" s="1"/>
  <c r="Z45" i="20" s="1"/>
  <c r="Z155" i="20" s="1"/>
  <c r="Z157" i="20" s="1"/>
  <c r="Z25" i="20"/>
  <c r="Z24" i="20" s="1"/>
  <c r="Z28" i="20" s="1"/>
  <c r="Z30" i="20" s="1"/>
  <c r="Z137" i="20" s="1"/>
  <c r="Z139" i="20" s="1"/>
  <c r="AA10" i="20"/>
  <c r="Z9" i="20"/>
  <c r="Z13" i="20" s="1"/>
  <c r="Z15" i="20" s="1"/>
  <c r="Z119" i="20" s="1"/>
  <c r="Z121" i="20" s="1"/>
  <c r="Y121" i="20"/>
  <c r="Y164" i="17"/>
  <c r="Y70" i="20"/>
  <c r="Y69" i="20" s="1"/>
  <c r="Y73" i="20" s="1"/>
  <c r="Y75" i="20" s="1"/>
  <c r="Y181" i="20" s="1"/>
  <c r="Y54" i="20"/>
  <c r="Y58" i="20" s="1"/>
  <c r="Y60" i="20" s="1"/>
  <c r="Y168" i="20" s="1"/>
  <c r="Y177" i="17"/>
  <c r="Y157" i="20"/>
  <c r="W70" i="18"/>
  <c r="W69" i="18" s="1"/>
  <c r="W73" i="18" s="1"/>
  <c r="W75" i="18" s="1"/>
  <c r="W181" i="18" s="1"/>
  <c r="W183" i="18" s="1"/>
  <c r="W54" i="18"/>
  <c r="W58" i="18" s="1"/>
  <c r="W60" i="18" s="1"/>
  <c r="W168" i="18" s="1"/>
  <c r="W170" i="18" s="1"/>
  <c r="AE144" i="18"/>
  <c r="AE126" i="18"/>
  <c r="X55" i="18"/>
  <c r="Y40" i="18"/>
  <c r="X39" i="18"/>
  <c r="X43" i="18" s="1"/>
  <c r="X45" i="18" s="1"/>
  <c r="X25" i="18"/>
  <c r="X24" i="18" s="1"/>
  <c r="X28" i="18" s="1"/>
  <c r="X30" i="18" s="1"/>
  <c r="Y10" i="18"/>
  <c r="X9" i="18"/>
  <c r="X13" i="18" s="1"/>
  <c r="X15" i="18" s="1"/>
  <c r="X119" i="18" s="1"/>
  <c r="X121" i="18" s="1"/>
  <c r="AB40" i="17"/>
  <c r="AA55" i="17"/>
  <c r="AA39" i="17"/>
  <c r="AA43" i="17" s="1"/>
  <c r="AA45" i="17" s="1"/>
  <c r="AA149" i="17" s="1"/>
  <c r="Z70" i="17"/>
  <c r="Z69" i="17" s="1"/>
  <c r="Z73" i="17" s="1"/>
  <c r="Z75" i="17" s="1"/>
  <c r="Z175" i="17" s="1"/>
  <c r="Z177" i="17" s="1"/>
  <c r="Z54" i="17"/>
  <c r="Z58" i="17" s="1"/>
  <c r="Z60" i="17" s="1"/>
  <c r="Z162" i="17" s="1"/>
  <c r="Z164" i="17" s="1"/>
  <c r="Y10" i="17"/>
  <c r="X25" i="17"/>
  <c r="X24" i="17" s="1"/>
  <c r="X28" i="17" s="1"/>
  <c r="X30" i="17" s="1"/>
  <c r="X9" i="17"/>
  <c r="X13" i="17" s="1"/>
  <c r="X15" i="17" s="1"/>
  <c r="X113" i="17" s="1"/>
  <c r="X115" i="17" s="1"/>
  <c r="AA25" i="20" l="1"/>
  <c r="AA24" i="20" s="1"/>
  <c r="AA28" i="20" s="1"/>
  <c r="AA30" i="20" s="1"/>
  <c r="AA137" i="20" s="1"/>
  <c r="AA139" i="20" s="1"/>
  <c r="AB10" i="20"/>
  <c r="AA9" i="20"/>
  <c r="AA13" i="20" s="1"/>
  <c r="AA15" i="20" s="1"/>
  <c r="AA119" i="20" s="1"/>
  <c r="AA121" i="20" s="1"/>
  <c r="Y183" i="20"/>
  <c r="Y170" i="20"/>
  <c r="AA55" i="20"/>
  <c r="AB40" i="20"/>
  <c r="AA39" i="20"/>
  <c r="AA43" i="20" s="1"/>
  <c r="AA45" i="20" s="1"/>
  <c r="AA155" i="20" s="1"/>
  <c r="Z70" i="20"/>
  <c r="Z69" i="20" s="1"/>
  <c r="Z73" i="20" s="1"/>
  <c r="Z75" i="20" s="1"/>
  <c r="Z181" i="20" s="1"/>
  <c r="Z183" i="20" s="1"/>
  <c r="Z54" i="20"/>
  <c r="Z58" i="20" s="1"/>
  <c r="Z60" i="20" s="1"/>
  <c r="Z168" i="20" s="1"/>
  <c r="Z170" i="20" s="1"/>
  <c r="Y55" i="18"/>
  <c r="Z40" i="18"/>
  <c r="Y39" i="18"/>
  <c r="Y43" i="18" s="1"/>
  <c r="Y45" i="18" s="1"/>
  <c r="Y155" i="18" s="1"/>
  <c r="X155" i="18"/>
  <c r="X157" i="18" s="1"/>
  <c r="X70" i="18"/>
  <c r="X69" i="18" s="1"/>
  <c r="X73" i="18" s="1"/>
  <c r="X75" i="18" s="1"/>
  <c r="X54" i="18"/>
  <c r="X58" i="18" s="1"/>
  <c r="X60" i="18" s="1"/>
  <c r="Y25" i="18"/>
  <c r="Y24" i="18" s="1"/>
  <c r="Y28" i="18" s="1"/>
  <c r="Y30" i="18" s="1"/>
  <c r="Y137" i="18" s="1"/>
  <c r="Z10" i="18"/>
  <c r="Y9" i="18"/>
  <c r="Y13" i="18" s="1"/>
  <c r="Y15" i="18" s="1"/>
  <c r="Y119" i="18" s="1"/>
  <c r="X137" i="18"/>
  <c r="X139" i="18" s="1"/>
  <c r="AA70" i="17"/>
  <c r="AA69" i="17" s="1"/>
  <c r="AA73" i="17" s="1"/>
  <c r="AA75" i="17" s="1"/>
  <c r="AA175" i="17" s="1"/>
  <c r="AA54" i="17"/>
  <c r="AA58" i="17" s="1"/>
  <c r="AA60" i="17" s="1"/>
  <c r="AA162" i="17" s="1"/>
  <c r="X131" i="17"/>
  <c r="X133" i="17" s="1"/>
  <c r="Y25" i="17"/>
  <c r="Y24" i="17" s="1"/>
  <c r="Y28" i="17" s="1"/>
  <c r="Y30" i="17" s="1"/>
  <c r="Y131" i="17" s="1"/>
  <c r="Z10" i="17"/>
  <c r="Y9" i="17"/>
  <c r="Y13" i="17" s="1"/>
  <c r="Y15" i="17" s="1"/>
  <c r="Y113" i="17" s="1"/>
  <c r="AA151" i="17"/>
  <c r="AB55" i="17"/>
  <c r="AC40" i="17"/>
  <c r="AB39" i="17"/>
  <c r="AB43" i="17" s="1"/>
  <c r="AB45" i="17" s="1"/>
  <c r="AB149" i="17" s="1"/>
  <c r="AA70" i="20" l="1"/>
  <c r="AA69" i="20" s="1"/>
  <c r="AA73" i="20" s="1"/>
  <c r="AA75" i="20" s="1"/>
  <c r="AA181" i="20" s="1"/>
  <c r="AA54" i="20"/>
  <c r="AA58" i="20" s="1"/>
  <c r="AA60" i="20" s="1"/>
  <c r="AA168" i="20" s="1"/>
  <c r="Y115" i="17"/>
  <c r="AB151" i="17"/>
  <c r="Y139" i="18"/>
  <c r="Y121" i="18"/>
  <c r="Y133" i="17"/>
  <c r="AA157" i="20"/>
  <c r="AB25" i="20"/>
  <c r="AB24" i="20" s="1"/>
  <c r="AB28" i="20" s="1"/>
  <c r="AB30" i="20" s="1"/>
  <c r="AB137" i="20" s="1"/>
  <c r="AB9" i="20"/>
  <c r="AB13" i="20" s="1"/>
  <c r="AB15" i="20" s="1"/>
  <c r="AB119" i="20" s="1"/>
  <c r="AC10" i="20"/>
  <c r="Y157" i="18"/>
  <c r="AB55" i="20"/>
  <c r="AC40" i="20"/>
  <c r="AB39" i="20"/>
  <c r="AB43" i="20" s="1"/>
  <c r="AB45" i="20" s="1"/>
  <c r="AB155" i="20" s="1"/>
  <c r="AB157" i="20" s="1"/>
  <c r="X168" i="18"/>
  <c r="X170" i="18" s="1"/>
  <c r="X181" i="18"/>
  <c r="X183" i="18" s="1"/>
  <c r="AA40" i="18"/>
  <c r="Z55" i="18"/>
  <c r="Z39" i="18"/>
  <c r="Z43" i="18" s="1"/>
  <c r="Z45" i="18" s="1"/>
  <c r="Z155" i="18" s="1"/>
  <c r="Z157" i="18" s="1"/>
  <c r="Z25" i="18"/>
  <c r="Z24" i="18" s="1"/>
  <c r="Z28" i="18" s="1"/>
  <c r="Z30" i="18" s="1"/>
  <c r="Z137" i="18" s="1"/>
  <c r="Z139" i="18" s="1"/>
  <c r="AA10" i="18"/>
  <c r="Z9" i="18"/>
  <c r="Z13" i="18" s="1"/>
  <c r="Z15" i="18" s="1"/>
  <c r="Z119" i="18" s="1"/>
  <c r="Z121" i="18" s="1"/>
  <c r="Y70" i="18"/>
  <c r="Y69" i="18" s="1"/>
  <c r="Y73" i="18" s="1"/>
  <c r="Y75" i="18" s="1"/>
  <c r="Y181" i="18" s="1"/>
  <c r="Y54" i="18"/>
  <c r="Y58" i="18" s="1"/>
  <c r="Y60" i="18" s="1"/>
  <c r="Y168" i="18" s="1"/>
  <c r="AB70" i="17"/>
  <c r="AB69" i="17" s="1"/>
  <c r="AB73" i="17" s="1"/>
  <c r="AB75" i="17" s="1"/>
  <c r="AB175" i="17" s="1"/>
  <c r="AB54" i="17"/>
  <c r="AB58" i="17" s="1"/>
  <c r="AB60" i="17" s="1"/>
  <c r="AB162" i="17" s="1"/>
  <c r="AB164" i="17" s="1"/>
  <c r="Z25" i="17"/>
  <c r="Z24" i="17" s="1"/>
  <c r="Z28" i="17" s="1"/>
  <c r="Z30" i="17" s="1"/>
  <c r="Z131" i="17" s="1"/>
  <c r="Z133" i="17" s="1"/>
  <c r="AA10" i="17"/>
  <c r="Z9" i="17"/>
  <c r="Z13" i="17" s="1"/>
  <c r="Z15" i="17" s="1"/>
  <c r="Z113" i="17" s="1"/>
  <c r="Z115" i="17" s="1"/>
  <c r="AA164" i="17"/>
  <c r="AA177" i="17"/>
  <c r="AC55" i="17"/>
  <c r="AD40" i="17"/>
  <c r="AC39" i="17"/>
  <c r="AC43" i="17" s="1"/>
  <c r="AC45" i="17" s="1"/>
  <c r="AC149" i="17" s="1"/>
  <c r="AC151" i="17" s="1"/>
  <c r="AA183" i="20" l="1"/>
  <c r="AC55" i="20"/>
  <c r="AD40" i="20"/>
  <c r="AC39" i="20"/>
  <c r="AC43" i="20" s="1"/>
  <c r="AC45" i="20" s="1"/>
  <c r="AC155" i="20" s="1"/>
  <c r="AC157" i="20" s="1"/>
  <c r="AB70" i="20"/>
  <c r="AB69" i="20" s="1"/>
  <c r="AB73" i="20" s="1"/>
  <c r="AB75" i="20" s="1"/>
  <c r="AB181" i="20" s="1"/>
  <c r="AB183" i="20" s="1"/>
  <c r="AB54" i="20"/>
  <c r="AB58" i="20" s="1"/>
  <c r="AB60" i="20" s="1"/>
  <c r="AB168" i="20" s="1"/>
  <c r="AB170" i="20" s="1"/>
  <c r="AE150" i="17"/>
  <c r="AB177" i="17"/>
  <c r="AB121" i="20"/>
  <c r="AB139" i="20"/>
  <c r="Y170" i="18"/>
  <c r="Y183" i="18"/>
  <c r="AC25" i="20"/>
  <c r="AC24" i="20" s="1"/>
  <c r="AC28" i="20" s="1"/>
  <c r="AC30" i="20" s="1"/>
  <c r="AC137" i="20" s="1"/>
  <c r="AC139" i="20" s="1"/>
  <c r="AC9" i="20"/>
  <c r="AC13" i="20" s="1"/>
  <c r="AC15" i="20" s="1"/>
  <c r="AC119" i="20" s="1"/>
  <c r="AC121" i="20" s="1"/>
  <c r="AD10" i="20"/>
  <c r="AA170" i="20"/>
  <c r="AA25" i="18"/>
  <c r="AA24" i="18" s="1"/>
  <c r="AA28" i="18" s="1"/>
  <c r="AA30" i="18" s="1"/>
  <c r="AA137" i="18" s="1"/>
  <c r="AB10" i="18"/>
  <c r="AA9" i="18"/>
  <c r="AA13" i="18" s="1"/>
  <c r="AA15" i="18" s="1"/>
  <c r="AA119" i="18" s="1"/>
  <c r="Z70" i="18"/>
  <c r="Z69" i="18" s="1"/>
  <c r="Z73" i="18" s="1"/>
  <c r="Z75" i="18" s="1"/>
  <c r="Z181" i="18" s="1"/>
  <c r="Z183" i="18" s="1"/>
  <c r="Z54" i="18"/>
  <c r="Z58" i="18" s="1"/>
  <c r="Z60" i="18" s="1"/>
  <c r="Z168" i="18" s="1"/>
  <c r="Z170" i="18" s="1"/>
  <c r="AA55" i="18"/>
  <c r="AB40" i="18"/>
  <c r="AA39" i="18"/>
  <c r="AA43" i="18" s="1"/>
  <c r="AA45" i="18" s="1"/>
  <c r="AA155" i="18" s="1"/>
  <c r="AD55" i="17"/>
  <c r="AE40" i="17"/>
  <c r="AD39" i="17"/>
  <c r="AD43" i="17" s="1"/>
  <c r="AD45" i="17" s="1"/>
  <c r="AD149" i="17" s="1"/>
  <c r="AD151" i="17" s="1"/>
  <c r="AC70" i="17"/>
  <c r="AC69" i="17" s="1"/>
  <c r="AC73" i="17" s="1"/>
  <c r="AC75" i="17" s="1"/>
  <c r="AC175" i="17" s="1"/>
  <c r="AC177" i="17" s="1"/>
  <c r="AC54" i="17"/>
  <c r="AC58" i="17" s="1"/>
  <c r="AC60" i="17" s="1"/>
  <c r="AC162" i="17" s="1"/>
  <c r="AA25" i="17"/>
  <c r="AA24" i="17" s="1"/>
  <c r="AA28" i="17" s="1"/>
  <c r="AA30" i="17" s="1"/>
  <c r="AA131" i="17" s="1"/>
  <c r="AB10" i="17"/>
  <c r="AA9" i="17"/>
  <c r="AA13" i="17" s="1"/>
  <c r="AA15" i="17" s="1"/>
  <c r="AA113" i="17" s="1"/>
  <c r="AE120" i="20" l="1"/>
  <c r="AD55" i="20"/>
  <c r="AE40" i="20"/>
  <c r="AD39" i="20"/>
  <c r="AD43" i="20" s="1"/>
  <c r="AD45" i="20" s="1"/>
  <c r="AD155" i="20" s="1"/>
  <c r="AD157" i="20" s="1"/>
  <c r="AE156" i="20"/>
  <c r="AE176" i="17"/>
  <c r="AC70" i="20"/>
  <c r="AC69" i="20" s="1"/>
  <c r="AC73" i="20" s="1"/>
  <c r="AC75" i="20" s="1"/>
  <c r="AC181" i="20" s="1"/>
  <c r="AC183" i="20" s="1"/>
  <c r="AC54" i="20"/>
  <c r="AC58" i="20" s="1"/>
  <c r="AC60" i="20" s="1"/>
  <c r="AC168" i="20" s="1"/>
  <c r="AC170" i="20" s="1"/>
  <c r="AC164" i="17"/>
  <c r="AE163" i="17"/>
  <c r="AD25" i="20"/>
  <c r="AD24" i="20" s="1"/>
  <c r="AD28" i="20" s="1"/>
  <c r="AD30" i="20" s="1"/>
  <c r="AD137" i="20" s="1"/>
  <c r="AD139" i="20" s="1"/>
  <c r="AD9" i="20"/>
  <c r="AD13" i="20" s="1"/>
  <c r="AD15" i="20" s="1"/>
  <c r="AD119" i="20" s="1"/>
  <c r="AD121" i="20" s="1"/>
  <c r="AE10" i="20"/>
  <c r="AE138" i="20"/>
  <c r="AC40" i="18"/>
  <c r="AB55" i="18"/>
  <c r="AB39" i="18"/>
  <c r="AB43" i="18" s="1"/>
  <c r="AB45" i="18" s="1"/>
  <c r="AB155" i="18" s="1"/>
  <c r="AB157" i="18" s="1"/>
  <c r="AA121" i="18"/>
  <c r="AC10" i="18"/>
  <c r="AB25" i="18"/>
  <c r="AB24" i="18" s="1"/>
  <c r="AB28" i="18" s="1"/>
  <c r="AB30" i="18" s="1"/>
  <c r="AB137" i="18" s="1"/>
  <c r="AB139" i="18" s="1"/>
  <c r="AB9" i="18"/>
  <c r="AB13" i="18" s="1"/>
  <c r="AB15" i="18" s="1"/>
  <c r="AB119" i="18" s="1"/>
  <c r="AB121" i="18" s="1"/>
  <c r="AA70" i="18"/>
  <c r="AA69" i="18" s="1"/>
  <c r="AA73" i="18" s="1"/>
  <c r="AA75" i="18" s="1"/>
  <c r="AA181" i="18" s="1"/>
  <c r="AA54" i="18"/>
  <c r="AA58" i="18" s="1"/>
  <c r="AA60" i="18" s="1"/>
  <c r="AA168" i="18" s="1"/>
  <c r="AA139" i="18"/>
  <c r="AA157" i="18"/>
  <c r="AE55" i="17"/>
  <c r="AE39" i="17"/>
  <c r="AE43" i="17" s="1"/>
  <c r="AE45" i="17" s="1"/>
  <c r="AA115" i="17"/>
  <c r="AA133" i="17"/>
  <c r="AC10" i="17"/>
  <c r="AB25" i="17"/>
  <c r="AB24" i="17" s="1"/>
  <c r="AB28" i="17" s="1"/>
  <c r="AB30" i="17" s="1"/>
  <c r="AB131" i="17" s="1"/>
  <c r="AB9" i="17"/>
  <c r="AB13" i="17" s="1"/>
  <c r="AB15" i="17" s="1"/>
  <c r="AB113" i="17" s="1"/>
  <c r="AB115" i="17" s="1"/>
  <c r="AD70" i="17"/>
  <c r="AD69" i="17" s="1"/>
  <c r="AD73" i="17" s="1"/>
  <c r="AD75" i="17" s="1"/>
  <c r="AD175" i="17" s="1"/>
  <c r="AD177" i="17" s="1"/>
  <c r="AD54" i="17"/>
  <c r="AD58" i="17" s="1"/>
  <c r="AD60" i="17" s="1"/>
  <c r="AD162" i="17" s="1"/>
  <c r="AE169" i="20" l="1"/>
  <c r="AE149" i="17"/>
  <c r="B47" i="17"/>
  <c r="D103" i="17" s="1"/>
  <c r="AE55" i="20"/>
  <c r="AE39" i="20"/>
  <c r="AE43" i="20" s="1"/>
  <c r="AE45" i="20" s="1"/>
  <c r="AD70" i="20"/>
  <c r="AD69" i="20" s="1"/>
  <c r="AD73" i="20" s="1"/>
  <c r="AD75" i="20" s="1"/>
  <c r="AD181" i="20" s="1"/>
  <c r="AD183" i="20" s="1"/>
  <c r="AD54" i="20"/>
  <c r="AD58" i="20" s="1"/>
  <c r="AD60" i="20" s="1"/>
  <c r="AD168" i="20" s="1"/>
  <c r="AD170" i="20" s="1"/>
  <c r="AB133" i="17"/>
  <c r="AE182" i="20"/>
  <c r="AE25" i="20"/>
  <c r="AE24" i="20" s="1"/>
  <c r="AE28" i="20" s="1"/>
  <c r="AE30" i="20" s="1"/>
  <c r="AE9" i="20"/>
  <c r="AE13" i="20" s="1"/>
  <c r="AE15" i="20" s="1"/>
  <c r="B105" i="20"/>
  <c r="B104" i="20"/>
  <c r="AC25" i="18"/>
  <c r="AC24" i="18" s="1"/>
  <c r="AC28" i="18" s="1"/>
  <c r="AC30" i="18" s="1"/>
  <c r="AC137" i="18" s="1"/>
  <c r="AE138" i="18" s="1"/>
  <c r="AD10" i="18"/>
  <c r="AC9" i="18"/>
  <c r="AC13" i="18" s="1"/>
  <c r="AC15" i="18" s="1"/>
  <c r="AC119" i="18" s="1"/>
  <c r="AC121" i="18" s="1"/>
  <c r="AA170" i="18"/>
  <c r="AA183" i="18"/>
  <c r="AB70" i="18"/>
  <c r="AB69" i="18" s="1"/>
  <c r="AB73" i="18" s="1"/>
  <c r="AB75" i="18" s="1"/>
  <c r="AB181" i="18" s="1"/>
  <c r="AB183" i="18" s="1"/>
  <c r="AB54" i="18"/>
  <c r="AB58" i="18" s="1"/>
  <c r="AB60" i="18" s="1"/>
  <c r="AB168" i="18" s="1"/>
  <c r="AB170" i="18" s="1"/>
  <c r="AC55" i="18"/>
  <c r="AD40" i="18"/>
  <c r="AC39" i="18"/>
  <c r="AC43" i="18" s="1"/>
  <c r="AC45" i="18" s="1"/>
  <c r="AC155" i="18" s="1"/>
  <c r="AE156" i="18" s="1"/>
  <c r="AC25" i="17"/>
  <c r="AC24" i="17" s="1"/>
  <c r="AC28" i="17" s="1"/>
  <c r="AC30" i="17" s="1"/>
  <c r="AC131" i="17" s="1"/>
  <c r="AC133" i="17" s="1"/>
  <c r="AD10" i="17"/>
  <c r="AC9" i="17"/>
  <c r="AC13" i="17" s="1"/>
  <c r="AC15" i="17" s="1"/>
  <c r="AC113" i="17" s="1"/>
  <c r="AE70" i="17"/>
  <c r="AE69" i="17" s="1"/>
  <c r="AE73" i="17" s="1"/>
  <c r="AE75" i="17" s="1"/>
  <c r="AE54" i="17"/>
  <c r="AE58" i="17" s="1"/>
  <c r="AE60" i="17" s="1"/>
  <c r="AE151" i="17"/>
  <c r="AD164" i="17"/>
  <c r="AE132" i="17" l="1"/>
  <c r="F110" i="20"/>
  <c r="E110" i="20"/>
  <c r="B147" i="20"/>
  <c r="B160" i="20" s="1"/>
  <c r="B173" i="20" s="1"/>
  <c r="B186" i="20" s="1"/>
  <c r="D110" i="20"/>
  <c r="C110" i="20"/>
  <c r="AC115" i="17"/>
  <c r="AE114" i="17"/>
  <c r="AE137" i="20"/>
  <c r="AE139" i="20" s="1"/>
  <c r="B146" i="20" s="1"/>
  <c r="B32" i="20"/>
  <c r="B129" i="20"/>
  <c r="B110" i="20"/>
  <c r="AE119" i="20"/>
  <c r="AE121" i="20" s="1"/>
  <c r="B128" i="20" s="1"/>
  <c r="B17" i="20"/>
  <c r="AE120" i="18"/>
  <c r="AE162" i="17"/>
  <c r="B62" i="17"/>
  <c r="E103" i="17" s="1"/>
  <c r="AE175" i="17"/>
  <c r="AE177" i="17" s="1"/>
  <c r="B77" i="17"/>
  <c r="F103" i="17" s="1"/>
  <c r="AE155" i="20"/>
  <c r="AE157" i="20" s="1"/>
  <c r="B159" i="20" s="1"/>
  <c r="B47" i="20"/>
  <c r="AE70" i="20"/>
  <c r="AE69" i="20" s="1"/>
  <c r="AE73" i="20" s="1"/>
  <c r="AE75" i="20" s="1"/>
  <c r="AE54" i="20"/>
  <c r="AE58" i="20" s="1"/>
  <c r="AE60" i="20" s="1"/>
  <c r="AC70" i="18"/>
  <c r="AC69" i="18" s="1"/>
  <c r="AC73" i="18" s="1"/>
  <c r="AC75" i="18" s="1"/>
  <c r="AC181" i="18" s="1"/>
  <c r="AE182" i="18" s="1"/>
  <c r="AC54" i="18"/>
  <c r="AC58" i="18" s="1"/>
  <c r="AC60" i="18" s="1"/>
  <c r="AC168" i="18" s="1"/>
  <c r="AC157" i="18"/>
  <c r="AD25" i="18"/>
  <c r="AD24" i="18" s="1"/>
  <c r="AD28" i="18" s="1"/>
  <c r="AD30" i="18" s="1"/>
  <c r="AD137" i="18" s="1"/>
  <c r="AD139" i="18" s="1"/>
  <c r="AE10" i="18"/>
  <c r="AD9" i="18"/>
  <c r="AD13" i="18" s="1"/>
  <c r="AD15" i="18" s="1"/>
  <c r="AD119" i="18" s="1"/>
  <c r="AE40" i="18"/>
  <c r="AD55" i="18"/>
  <c r="AD39" i="18"/>
  <c r="AD43" i="18" s="1"/>
  <c r="AD45" i="18" s="1"/>
  <c r="AD155" i="18" s="1"/>
  <c r="AD157" i="18" s="1"/>
  <c r="AC139" i="18"/>
  <c r="AD25" i="17"/>
  <c r="AD24" i="17" s="1"/>
  <c r="AD28" i="17" s="1"/>
  <c r="AD30" i="17" s="1"/>
  <c r="AD131" i="17" s="1"/>
  <c r="AD133" i="17" s="1"/>
  <c r="AE10" i="17"/>
  <c r="AD9" i="17"/>
  <c r="AD13" i="17" s="1"/>
  <c r="AD15" i="17" s="1"/>
  <c r="AD113" i="17" s="1"/>
  <c r="AD115" i="17" s="1"/>
  <c r="AE164" i="17"/>
  <c r="B148" i="20" l="1"/>
  <c r="D23" i="16" s="1"/>
  <c r="B130" i="20"/>
  <c r="C23" i="16" s="1"/>
  <c r="B161" i="20"/>
  <c r="E23" i="16" s="1"/>
  <c r="AE168" i="20"/>
  <c r="AE170" i="20" s="1"/>
  <c r="B172" i="20" s="1"/>
  <c r="B174" i="20" s="1"/>
  <c r="F23" i="16" s="1"/>
  <c r="B62" i="20"/>
  <c r="AE181" i="20"/>
  <c r="AE183" i="20" s="1"/>
  <c r="B185" i="20" s="1"/>
  <c r="B187" i="20" s="1"/>
  <c r="G23" i="16" s="1"/>
  <c r="B77" i="20"/>
  <c r="B109" i="20"/>
  <c r="B111" i="20" s="1"/>
  <c r="C31" i="16" s="1"/>
  <c r="AC170" i="18"/>
  <c r="AE169" i="18"/>
  <c r="D109" i="20"/>
  <c r="D111" i="20" s="1"/>
  <c r="E31" i="16" s="1"/>
  <c r="C109" i="20"/>
  <c r="C111" i="20" s="1"/>
  <c r="D31" i="16" s="1"/>
  <c r="AD121" i="18"/>
  <c r="AE25" i="18"/>
  <c r="AE24" i="18" s="1"/>
  <c r="AE28" i="18" s="1"/>
  <c r="AE30" i="18" s="1"/>
  <c r="AE9" i="18"/>
  <c r="AE13" i="18" s="1"/>
  <c r="AE15" i="18" s="1"/>
  <c r="AD70" i="18"/>
  <c r="AD69" i="18" s="1"/>
  <c r="AD73" i="18" s="1"/>
  <c r="AD75" i="18" s="1"/>
  <c r="AD181" i="18" s="1"/>
  <c r="AD183" i="18" s="1"/>
  <c r="AD54" i="18"/>
  <c r="AD58" i="18" s="1"/>
  <c r="AD60" i="18" s="1"/>
  <c r="AD168" i="18" s="1"/>
  <c r="AE55" i="18"/>
  <c r="AE39" i="18"/>
  <c r="AE43" i="18" s="1"/>
  <c r="AE45" i="18" s="1"/>
  <c r="AC183" i="18"/>
  <c r="AE25" i="17"/>
  <c r="AE24" i="17" s="1"/>
  <c r="AE28" i="17" s="1"/>
  <c r="AE30" i="17" s="1"/>
  <c r="AE9" i="17"/>
  <c r="AE13" i="17" s="1"/>
  <c r="AE15" i="17" s="1"/>
  <c r="B99" i="17"/>
  <c r="B179" i="17"/>
  <c r="B98" i="17"/>
  <c r="B153" i="17"/>
  <c r="B166" i="17"/>
  <c r="AE155" i="18" l="1"/>
  <c r="B47" i="18"/>
  <c r="D109" i="18" s="1"/>
  <c r="F109" i="20"/>
  <c r="F111" i="20" s="1"/>
  <c r="G31" i="16" s="1"/>
  <c r="AE137" i="18"/>
  <c r="AE139" i="18" s="1"/>
  <c r="B146" i="18" s="1"/>
  <c r="B32" i="18"/>
  <c r="C109" i="18" s="1"/>
  <c r="E109" i="20"/>
  <c r="E111" i="20" s="1"/>
  <c r="F31" i="16" s="1"/>
  <c r="AE131" i="17"/>
  <c r="B32" i="17"/>
  <c r="C103" i="17" s="1"/>
  <c r="AE157" i="18"/>
  <c r="B159" i="18" s="1"/>
  <c r="F110" i="18"/>
  <c r="E110" i="18"/>
  <c r="B147" i="18"/>
  <c r="B160" i="18" s="1"/>
  <c r="B173" i="18" s="1"/>
  <c r="B186" i="18" s="1"/>
  <c r="D110" i="18"/>
  <c r="C110" i="18"/>
  <c r="B129" i="18"/>
  <c r="B110" i="18"/>
  <c r="AE119" i="18"/>
  <c r="B17" i="18"/>
  <c r="AE70" i="18"/>
  <c r="AE69" i="18" s="1"/>
  <c r="AE73" i="18" s="1"/>
  <c r="AE75" i="18" s="1"/>
  <c r="AE54" i="18"/>
  <c r="AE58" i="18" s="1"/>
  <c r="AE60" i="18" s="1"/>
  <c r="AD170" i="18"/>
  <c r="B123" i="17"/>
  <c r="B104" i="17"/>
  <c r="E104" i="17"/>
  <c r="E105" i="17" s="1"/>
  <c r="F29" i="16" s="1"/>
  <c r="B141" i="17"/>
  <c r="B154" i="17" s="1"/>
  <c r="B167" i="17" s="1"/>
  <c r="B180" i="17" s="1"/>
  <c r="B181" i="17" s="1"/>
  <c r="G21" i="16" s="1"/>
  <c r="D104" i="17"/>
  <c r="D105" i="17" s="1"/>
  <c r="E29" i="16" s="1"/>
  <c r="C104" i="17"/>
  <c r="F104" i="17"/>
  <c r="F105" i="17" s="1"/>
  <c r="G29" i="16" s="1"/>
  <c r="AE113" i="17"/>
  <c r="B17" i="17"/>
  <c r="AE133" i="17"/>
  <c r="B140" i="17" s="1"/>
  <c r="C111" i="18" l="1"/>
  <c r="D30" i="16" s="1"/>
  <c r="D111" i="18"/>
  <c r="E30" i="16" s="1"/>
  <c r="I31" i="16"/>
  <c r="H31" i="16"/>
  <c r="C105" i="17"/>
  <c r="D29" i="16" s="1"/>
  <c r="I29" i="16" s="1"/>
  <c r="AE168" i="18"/>
  <c r="AE170" i="18" s="1"/>
  <c r="B172" i="18" s="1"/>
  <c r="B174" i="18" s="1"/>
  <c r="F22" i="16" s="1"/>
  <c r="B62" i="18"/>
  <c r="E109" i="18" s="1"/>
  <c r="E111" i="18" s="1"/>
  <c r="F30" i="16" s="1"/>
  <c r="AE181" i="18"/>
  <c r="AE183" i="18" s="1"/>
  <c r="B185" i="18" s="1"/>
  <c r="B187" i="18" s="1"/>
  <c r="G22" i="16" s="1"/>
  <c r="B77" i="18"/>
  <c r="F109" i="18" s="1"/>
  <c r="F111" i="18" s="1"/>
  <c r="G30" i="16" s="1"/>
  <c r="B148" i="18"/>
  <c r="D22" i="16" s="1"/>
  <c r="B161" i="18"/>
  <c r="E22" i="16" s="1"/>
  <c r="B109" i="18"/>
  <c r="B111" i="18" s="1"/>
  <c r="C30" i="16" s="1"/>
  <c r="AE121" i="18"/>
  <c r="B128" i="18" s="1"/>
  <c r="B130" i="18" s="1"/>
  <c r="C22" i="16" s="1"/>
  <c r="B142" i="17"/>
  <c r="D21" i="16" s="1"/>
  <c r="AE115" i="17"/>
  <c r="B122" i="17" s="1"/>
  <c r="B124" i="17" s="1"/>
  <c r="C21" i="16" s="1"/>
  <c r="B155" i="17"/>
  <c r="E21" i="16" s="1"/>
  <c r="B103" i="17"/>
  <c r="B105" i="17" s="1"/>
  <c r="C29" i="16" s="1"/>
  <c r="B168" i="17"/>
  <c r="F21" i="16" s="1"/>
  <c r="H29" i="16" l="1"/>
  <c r="I30" i="16"/>
  <c r="H30" i="16"/>
  <c r="I22" i="16"/>
  <c r="H22" i="16"/>
  <c r="I21" i="16"/>
  <c r="H21" i="16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H29" i="5"/>
  <c r="H44" i="5" s="1"/>
  <c r="H59" i="5" s="1"/>
  <c r="H74" i="5" s="1"/>
  <c r="G29" i="5"/>
  <c r="G44" i="5" s="1"/>
  <c r="G59" i="5" s="1"/>
  <c r="G74" i="5" s="1"/>
  <c r="F29" i="5"/>
  <c r="F44" i="5" s="1"/>
  <c r="F59" i="5" s="1"/>
  <c r="F74" i="5" s="1"/>
  <c r="E29" i="5"/>
  <c r="E44" i="5" s="1"/>
  <c r="E59" i="5" s="1"/>
  <c r="E74" i="5" s="1"/>
  <c r="D29" i="5"/>
  <c r="D44" i="5" s="1"/>
  <c r="D59" i="5" s="1"/>
  <c r="D74" i="5" s="1"/>
  <c r="C29" i="5"/>
  <c r="C44" i="5" s="1"/>
  <c r="C59" i="5" s="1"/>
  <c r="C74" i="5" s="1"/>
  <c r="B29" i="5"/>
  <c r="B44" i="5" s="1"/>
  <c r="B59" i="5" s="1"/>
  <c r="B74" i="5" s="1"/>
  <c r="Y59" i="5"/>
  <c r="Y74" i="5" s="1"/>
  <c r="Q59" i="5"/>
  <c r="Q74" i="5" s="1"/>
  <c r="I59" i="5"/>
  <c r="I74" i="5" s="1"/>
  <c r="Y44" i="5"/>
  <c r="X44" i="5"/>
  <c r="X59" i="5" s="1"/>
  <c r="X74" i="5" s="1"/>
  <c r="Q44" i="5"/>
  <c r="P44" i="5"/>
  <c r="P59" i="5" s="1"/>
  <c r="P74" i="5" s="1"/>
  <c r="I44" i="5"/>
  <c r="AE29" i="5"/>
  <c r="AE44" i="5" s="1"/>
  <c r="AE59" i="5" s="1"/>
  <c r="AE74" i="5" s="1"/>
  <c r="AA29" i="5"/>
  <c r="AA44" i="5" s="1"/>
  <c r="AA59" i="5" s="1"/>
  <c r="AA74" i="5" s="1"/>
  <c r="Y29" i="5"/>
  <c r="X29" i="5"/>
  <c r="W29" i="5"/>
  <c r="W44" i="5" s="1"/>
  <c r="W59" i="5" s="1"/>
  <c r="W74" i="5" s="1"/>
  <c r="S29" i="5"/>
  <c r="S44" i="5" s="1"/>
  <c r="S59" i="5" s="1"/>
  <c r="S74" i="5" s="1"/>
  <c r="Q29" i="5"/>
  <c r="P29" i="5"/>
  <c r="O29" i="5"/>
  <c r="O44" i="5" s="1"/>
  <c r="O59" i="5" s="1"/>
  <c r="O74" i="5" s="1"/>
  <c r="K29" i="5"/>
  <c r="K44" i="5" s="1"/>
  <c r="K59" i="5" s="1"/>
  <c r="K74" i="5" s="1"/>
  <c r="I29" i="5"/>
  <c r="AE14" i="5"/>
  <c r="AD14" i="5"/>
  <c r="AD29" i="5" s="1"/>
  <c r="AD44" i="5" s="1"/>
  <c r="AD59" i="5" s="1"/>
  <c r="AD74" i="5" s="1"/>
  <c r="AC14" i="5"/>
  <c r="AC29" i="5" s="1"/>
  <c r="AC44" i="5" s="1"/>
  <c r="AC59" i="5" s="1"/>
  <c r="AC74" i="5" s="1"/>
  <c r="AB14" i="5"/>
  <c r="AB29" i="5" s="1"/>
  <c r="AB44" i="5" s="1"/>
  <c r="AB59" i="5" s="1"/>
  <c r="AB74" i="5" s="1"/>
  <c r="AA14" i="5"/>
  <c r="Z14" i="5"/>
  <c r="Z29" i="5" s="1"/>
  <c r="Z44" i="5" s="1"/>
  <c r="Z59" i="5" s="1"/>
  <c r="Z74" i="5" s="1"/>
  <c r="Y14" i="5"/>
  <c r="X14" i="5"/>
  <c r="W14" i="5"/>
  <c r="V14" i="5"/>
  <c r="V29" i="5" s="1"/>
  <c r="V44" i="5" s="1"/>
  <c r="V59" i="5" s="1"/>
  <c r="V74" i="5" s="1"/>
  <c r="U14" i="5"/>
  <c r="U29" i="5" s="1"/>
  <c r="U44" i="5" s="1"/>
  <c r="U59" i="5" s="1"/>
  <c r="U74" i="5" s="1"/>
  <c r="T14" i="5"/>
  <c r="T29" i="5" s="1"/>
  <c r="T44" i="5" s="1"/>
  <c r="T59" i="5" s="1"/>
  <c r="T74" i="5" s="1"/>
  <c r="S14" i="5"/>
  <c r="R14" i="5"/>
  <c r="R29" i="5" s="1"/>
  <c r="R44" i="5" s="1"/>
  <c r="R59" i="5" s="1"/>
  <c r="R74" i="5" s="1"/>
  <c r="Q14" i="5"/>
  <c r="P14" i="5"/>
  <c r="O14" i="5"/>
  <c r="N14" i="5"/>
  <c r="N29" i="5" s="1"/>
  <c r="N44" i="5" s="1"/>
  <c r="N59" i="5" s="1"/>
  <c r="N74" i="5" s="1"/>
  <c r="M14" i="5"/>
  <c r="M29" i="5" s="1"/>
  <c r="M44" i="5" s="1"/>
  <c r="M59" i="5" s="1"/>
  <c r="M74" i="5" s="1"/>
  <c r="L14" i="5"/>
  <c r="L29" i="5" s="1"/>
  <c r="L44" i="5" s="1"/>
  <c r="L59" i="5" s="1"/>
  <c r="L74" i="5" s="1"/>
  <c r="K14" i="5"/>
  <c r="J14" i="5"/>
  <c r="J29" i="5" s="1"/>
  <c r="J44" i="5" s="1"/>
  <c r="J59" i="5" s="1"/>
  <c r="J74" i="5" s="1"/>
  <c r="I14" i="5"/>
  <c r="W29" i="4"/>
  <c r="W26" i="4"/>
  <c r="W19" i="4"/>
  <c r="W22" i="4"/>
  <c r="S22" i="4"/>
  <c r="S29" i="4"/>
  <c r="S26" i="4"/>
  <c r="S19" i="4"/>
  <c r="O22" i="4"/>
  <c r="O19" i="4"/>
  <c r="O26" i="4"/>
  <c r="O29" i="4"/>
  <c r="K29" i="4"/>
  <c r="K26" i="4"/>
  <c r="K22" i="4"/>
  <c r="K19" i="4"/>
  <c r="K39" i="4" s="1"/>
  <c r="G22" i="4"/>
  <c r="C22" i="4"/>
  <c r="C29" i="4"/>
  <c r="G29" i="4"/>
  <c r="G26" i="4"/>
  <c r="C26" i="4"/>
  <c r="G19" i="4"/>
  <c r="C19" i="4"/>
  <c r="A85" i="5"/>
  <c r="H23" i="16" l="1"/>
  <c r="I23" i="16"/>
  <c r="A171" i="5"/>
  <c r="A158" i="5"/>
  <c r="A145" i="5"/>
  <c r="A127" i="5"/>
  <c r="A109" i="5"/>
  <c r="AD138" i="5" l="1"/>
  <c r="AC138" i="5"/>
  <c r="AB138" i="5"/>
  <c r="AA138" i="5"/>
  <c r="Z138" i="5"/>
  <c r="Y138" i="5"/>
  <c r="X138" i="5"/>
  <c r="W138" i="5"/>
  <c r="V138" i="5"/>
  <c r="U138" i="5"/>
  <c r="T138" i="5"/>
  <c r="S138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B138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B120" i="5"/>
  <c r="J92" i="5"/>
  <c r="K92" i="5" s="1"/>
  <c r="L92" i="5" s="1"/>
  <c r="M92" i="5" s="1"/>
  <c r="N92" i="5" s="1"/>
  <c r="O92" i="5" s="1"/>
  <c r="P92" i="5" s="1"/>
  <c r="Q92" i="5" s="1"/>
  <c r="R92" i="5" s="1"/>
  <c r="S92" i="5" s="1"/>
  <c r="T92" i="5" s="1"/>
  <c r="U92" i="5" s="1"/>
  <c r="V92" i="5" s="1"/>
  <c r="W92" i="5" s="1"/>
  <c r="X92" i="5" s="1"/>
  <c r="Y92" i="5" s="1"/>
  <c r="Z92" i="5" s="1"/>
  <c r="AA92" i="5" s="1"/>
  <c r="AB92" i="5" l="1"/>
  <c r="AC92" i="5" s="1"/>
  <c r="AD92" i="5" s="1"/>
  <c r="AE92" i="5" s="1"/>
  <c r="W49" i="4"/>
  <c r="W46" i="4"/>
  <c r="W42" i="4"/>
  <c r="W39" i="4"/>
  <c r="S49" i="4"/>
  <c r="S46" i="4"/>
  <c r="S42" i="4"/>
  <c r="S39" i="4"/>
  <c r="O49" i="4"/>
  <c r="K49" i="4"/>
  <c r="O46" i="4"/>
  <c r="K46" i="4"/>
  <c r="O42" i="4"/>
  <c r="K42" i="4"/>
  <c r="O39" i="4"/>
  <c r="C39" i="4"/>
  <c r="G39" i="4"/>
  <c r="C42" i="4"/>
  <c r="G42" i="4"/>
  <c r="C46" i="4"/>
  <c r="G46" i="4"/>
  <c r="C49" i="4"/>
  <c r="G49" i="4"/>
  <c r="H94" i="5"/>
  <c r="G94" i="5"/>
  <c r="F94" i="5"/>
  <c r="E94" i="5"/>
  <c r="D94" i="5"/>
  <c r="C94" i="5"/>
  <c r="B94" i="5"/>
  <c r="AE95" i="5" l="1"/>
  <c r="I94" i="5"/>
  <c r="J93" i="5"/>
  <c r="J94" i="5" l="1"/>
  <c r="K93" i="5"/>
  <c r="L93" i="5" l="1"/>
  <c r="K94" i="5"/>
  <c r="M93" i="5" l="1"/>
  <c r="L94" i="5"/>
  <c r="N93" i="5" l="1"/>
  <c r="M94" i="5"/>
  <c r="O93" i="5" l="1"/>
  <c r="N94" i="5"/>
  <c r="P93" i="5" l="1"/>
  <c r="O94" i="5"/>
  <c r="Q93" i="5" l="1"/>
  <c r="P94" i="5"/>
  <c r="R93" i="5" l="1"/>
  <c r="Q94" i="5"/>
  <c r="S93" i="5" l="1"/>
  <c r="R94" i="5"/>
  <c r="T93" i="5" l="1"/>
  <c r="S94" i="5"/>
  <c r="U93" i="5" l="1"/>
  <c r="T94" i="5"/>
  <c r="V93" i="5" l="1"/>
  <c r="U94" i="5"/>
  <c r="W93" i="5" l="1"/>
  <c r="V94" i="5"/>
  <c r="X93" i="5" l="1"/>
  <c r="W94" i="5"/>
  <c r="X94" i="5" l="1"/>
  <c r="Y93" i="5"/>
  <c r="Z93" i="5" l="1"/>
  <c r="Y94" i="5"/>
  <c r="AA93" i="5" l="1"/>
  <c r="Z94" i="5"/>
  <c r="AB93" i="5" l="1"/>
  <c r="AA94" i="5"/>
  <c r="AC93" i="5" l="1"/>
  <c r="AB94" i="5"/>
  <c r="AC94" i="5" l="1"/>
  <c r="AD93" i="5"/>
  <c r="AE93" i="5" l="1"/>
  <c r="AE94" i="5" s="1"/>
  <c r="AD94" i="5"/>
  <c r="AE26" i="5" l="1"/>
  <c r="AE41" i="5" s="1"/>
  <c r="AE56" i="5" s="1"/>
  <c r="AE71" i="5" s="1"/>
  <c r="AE87" i="5" s="1"/>
  <c r="AE129" i="5" s="1"/>
  <c r="AE147" i="5" s="1"/>
  <c r="AE160" i="5" s="1"/>
  <c r="AE173" i="5" s="1"/>
  <c r="AD26" i="5"/>
  <c r="AD41" i="5" s="1"/>
  <c r="AD56" i="5" s="1"/>
  <c r="AD71" i="5" s="1"/>
  <c r="AD87" i="5" s="1"/>
  <c r="AD129" i="5" s="1"/>
  <c r="AD147" i="5" s="1"/>
  <c r="AD160" i="5" s="1"/>
  <c r="AD173" i="5" s="1"/>
  <c r="AC26" i="5"/>
  <c r="AC41" i="5" s="1"/>
  <c r="AC56" i="5" s="1"/>
  <c r="AC71" i="5" s="1"/>
  <c r="AC87" i="5" s="1"/>
  <c r="AC129" i="5" s="1"/>
  <c r="AC147" i="5" s="1"/>
  <c r="AC160" i="5" s="1"/>
  <c r="AC173" i="5" s="1"/>
  <c r="AB26" i="5"/>
  <c r="AB41" i="5" s="1"/>
  <c r="AB56" i="5" s="1"/>
  <c r="AB71" i="5" s="1"/>
  <c r="AB87" i="5" s="1"/>
  <c r="AB129" i="5" s="1"/>
  <c r="AB147" i="5" s="1"/>
  <c r="AB160" i="5" s="1"/>
  <c r="AB173" i="5" s="1"/>
  <c r="AA26" i="5"/>
  <c r="AA41" i="5" s="1"/>
  <c r="AA56" i="5" s="1"/>
  <c r="AA71" i="5" s="1"/>
  <c r="AA87" i="5" s="1"/>
  <c r="AA129" i="5" s="1"/>
  <c r="AA147" i="5" s="1"/>
  <c r="AA160" i="5" s="1"/>
  <c r="AA173" i="5" s="1"/>
  <c r="Z26" i="5"/>
  <c r="Z41" i="5" s="1"/>
  <c r="Z56" i="5" s="1"/>
  <c r="Z71" i="5" s="1"/>
  <c r="Z87" i="5" s="1"/>
  <c r="Z129" i="5" s="1"/>
  <c r="Z147" i="5" s="1"/>
  <c r="Z160" i="5" s="1"/>
  <c r="Z173" i="5" s="1"/>
  <c r="Y26" i="5"/>
  <c r="Y41" i="5" s="1"/>
  <c r="Y56" i="5" s="1"/>
  <c r="Y71" i="5" s="1"/>
  <c r="Y87" i="5" s="1"/>
  <c r="Y129" i="5" s="1"/>
  <c r="Y147" i="5" s="1"/>
  <c r="Y160" i="5" s="1"/>
  <c r="Y173" i="5" s="1"/>
  <c r="X26" i="5"/>
  <c r="X41" i="5" s="1"/>
  <c r="X56" i="5" s="1"/>
  <c r="X71" i="5" s="1"/>
  <c r="X87" i="5" s="1"/>
  <c r="X129" i="5" s="1"/>
  <c r="X147" i="5" s="1"/>
  <c r="X160" i="5" s="1"/>
  <c r="X173" i="5" s="1"/>
  <c r="W26" i="5"/>
  <c r="W41" i="5" s="1"/>
  <c r="W56" i="5" s="1"/>
  <c r="W71" i="5" s="1"/>
  <c r="W87" i="5" s="1"/>
  <c r="W129" i="5" s="1"/>
  <c r="W147" i="5" s="1"/>
  <c r="W160" i="5" s="1"/>
  <c r="W173" i="5" s="1"/>
  <c r="V26" i="5"/>
  <c r="V41" i="5" s="1"/>
  <c r="V56" i="5" s="1"/>
  <c r="V71" i="5" s="1"/>
  <c r="V87" i="5" s="1"/>
  <c r="V129" i="5" s="1"/>
  <c r="V147" i="5" s="1"/>
  <c r="V160" i="5" s="1"/>
  <c r="V173" i="5" s="1"/>
  <c r="U26" i="5"/>
  <c r="U41" i="5" s="1"/>
  <c r="U56" i="5" s="1"/>
  <c r="U71" i="5" s="1"/>
  <c r="U87" i="5" s="1"/>
  <c r="U129" i="5" s="1"/>
  <c r="U147" i="5" s="1"/>
  <c r="U160" i="5" s="1"/>
  <c r="U173" i="5" s="1"/>
  <c r="T26" i="5"/>
  <c r="T41" i="5" s="1"/>
  <c r="T56" i="5" s="1"/>
  <c r="T71" i="5" s="1"/>
  <c r="T87" i="5" s="1"/>
  <c r="T129" i="5" s="1"/>
  <c r="T147" i="5" s="1"/>
  <c r="T160" i="5" s="1"/>
  <c r="T173" i="5" s="1"/>
  <c r="S26" i="5"/>
  <c r="S41" i="5" s="1"/>
  <c r="S56" i="5" s="1"/>
  <c r="S71" i="5" s="1"/>
  <c r="S87" i="5" s="1"/>
  <c r="S129" i="5" s="1"/>
  <c r="S147" i="5" s="1"/>
  <c r="S160" i="5" s="1"/>
  <c r="S173" i="5" s="1"/>
  <c r="R26" i="5"/>
  <c r="R41" i="5" s="1"/>
  <c r="R56" i="5" s="1"/>
  <c r="R71" i="5" s="1"/>
  <c r="R87" i="5" s="1"/>
  <c r="R129" i="5" s="1"/>
  <c r="R147" i="5" s="1"/>
  <c r="R160" i="5" s="1"/>
  <c r="R173" i="5" s="1"/>
  <c r="Q26" i="5"/>
  <c r="Q41" i="5" s="1"/>
  <c r="Q56" i="5" s="1"/>
  <c r="Q71" i="5" s="1"/>
  <c r="Q87" i="5" s="1"/>
  <c r="Q129" i="5" s="1"/>
  <c r="Q147" i="5" s="1"/>
  <c r="Q160" i="5" s="1"/>
  <c r="Q173" i="5" s="1"/>
  <c r="P26" i="5"/>
  <c r="P41" i="5" s="1"/>
  <c r="P56" i="5" s="1"/>
  <c r="P71" i="5" s="1"/>
  <c r="P87" i="5" s="1"/>
  <c r="P129" i="5" s="1"/>
  <c r="P147" i="5" s="1"/>
  <c r="P160" i="5" s="1"/>
  <c r="P173" i="5" s="1"/>
  <c r="O26" i="5"/>
  <c r="O41" i="5" s="1"/>
  <c r="O56" i="5" s="1"/>
  <c r="O71" i="5" s="1"/>
  <c r="O87" i="5" s="1"/>
  <c r="O129" i="5" s="1"/>
  <c r="O147" i="5" s="1"/>
  <c r="O160" i="5" s="1"/>
  <c r="O173" i="5" s="1"/>
  <c r="N26" i="5"/>
  <c r="N41" i="5" s="1"/>
  <c r="N56" i="5" s="1"/>
  <c r="N71" i="5" s="1"/>
  <c r="N87" i="5" s="1"/>
  <c r="N129" i="5" s="1"/>
  <c r="N147" i="5" s="1"/>
  <c r="N160" i="5" s="1"/>
  <c r="N173" i="5" s="1"/>
  <c r="M26" i="5"/>
  <c r="M41" i="5" s="1"/>
  <c r="M56" i="5" s="1"/>
  <c r="M71" i="5" s="1"/>
  <c r="M87" i="5" s="1"/>
  <c r="M129" i="5" s="1"/>
  <c r="M147" i="5" s="1"/>
  <c r="M160" i="5" s="1"/>
  <c r="M173" i="5" s="1"/>
  <c r="L26" i="5"/>
  <c r="L41" i="5" s="1"/>
  <c r="L56" i="5" s="1"/>
  <c r="L71" i="5" s="1"/>
  <c r="L87" i="5" s="1"/>
  <c r="L129" i="5" s="1"/>
  <c r="L147" i="5" s="1"/>
  <c r="L160" i="5" s="1"/>
  <c r="L173" i="5" s="1"/>
  <c r="K26" i="5"/>
  <c r="K41" i="5" s="1"/>
  <c r="K56" i="5" s="1"/>
  <c r="K71" i="5" s="1"/>
  <c r="K87" i="5" s="1"/>
  <c r="K129" i="5" s="1"/>
  <c r="K147" i="5" s="1"/>
  <c r="K160" i="5" s="1"/>
  <c r="K173" i="5" s="1"/>
  <c r="J26" i="5"/>
  <c r="J41" i="5" s="1"/>
  <c r="J56" i="5" s="1"/>
  <c r="J71" i="5" s="1"/>
  <c r="J87" i="5" s="1"/>
  <c r="J129" i="5" s="1"/>
  <c r="J147" i="5" s="1"/>
  <c r="J160" i="5" s="1"/>
  <c r="J173" i="5" s="1"/>
  <c r="I26" i="5"/>
  <c r="I41" i="5" s="1"/>
  <c r="I56" i="5" s="1"/>
  <c r="I71" i="5" s="1"/>
  <c r="I87" i="5" s="1"/>
  <c r="I129" i="5" s="1"/>
  <c r="I147" i="5" s="1"/>
  <c r="I160" i="5" s="1"/>
  <c r="I173" i="5" s="1"/>
  <c r="H26" i="5"/>
  <c r="H41" i="5" s="1"/>
  <c r="H56" i="5" s="1"/>
  <c r="H71" i="5" s="1"/>
  <c r="H87" i="5" s="1"/>
  <c r="H129" i="5" s="1"/>
  <c r="H147" i="5" s="1"/>
  <c r="H160" i="5" s="1"/>
  <c r="H173" i="5" s="1"/>
  <c r="G26" i="5"/>
  <c r="G41" i="5" s="1"/>
  <c r="G56" i="5" s="1"/>
  <c r="G71" i="5" s="1"/>
  <c r="G87" i="5" s="1"/>
  <c r="G129" i="5" s="1"/>
  <c r="G147" i="5" s="1"/>
  <c r="G160" i="5" s="1"/>
  <c r="G173" i="5" s="1"/>
  <c r="F26" i="5"/>
  <c r="F41" i="5" s="1"/>
  <c r="F56" i="5" s="1"/>
  <c r="F71" i="5" s="1"/>
  <c r="F87" i="5" s="1"/>
  <c r="F129" i="5" s="1"/>
  <c r="F147" i="5" s="1"/>
  <c r="F160" i="5" s="1"/>
  <c r="F173" i="5" s="1"/>
  <c r="E26" i="5"/>
  <c r="E41" i="5" s="1"/>
  <c r="E56" i="5" s="1"/>
  <c r="E71" i="5" s="1"/>
  <c r="E87" i="5" s="1"/>
  <c r="E129" i="5" s="1"/>
  <c r="E147" i="5" s="1"/>
  <c r="E160" i="5" s="1"/>
  <c r="E173" i="5" s="1"/>
  <c r="D26" i="5"/>
  <c r="D41" i="5" s="1"/>
  <c r="D56" i="5" s="1"/>
  <c r="D71" i="5" s="1"/>
  <c r="D87" i="5" s="1"/>
  <c r="D129" i="5" s="1"/>
  <c r="D147" i="5" s="1"/>
  <c r="D160" i="5" s="1"/>
  <c r="D173" i="5" s="1"/>
  <c r="C26" i="5"/>
  <c r="C41" i="5" s="1"/>
  <c r="C56" i="5" s="1"/>
  <c r="C71" i="5" s="1"/>
  <c r="C87" i="5" s="1"/>
  <c r="C129" i="5" s="1"/>
  <c r="C147" i="5" s="1"/>
  <c r="C160" i="5" s="1"/>
  <c r="C173" i="5" s="1"/>
  <c r="B26" i="5"/>
  <c r="B41" i="5" s="1"/>
  <c r="B56" i="5" s="1"/>
  <c r="B71" i="5" s="1"/>
  <c r="B87" i="5" s="1"/>
  <c r="B129" i="5" s="1"/>
  <c r="B147" i="5" s="1"/>
  <c r="B160" i="5" s="1"/>
  <c r="B173" i="5" s="1"/>
  <c r="B25" i="5"/>
  <c r="B40" i="5" s="1"/>
  <c r="B55" i="5" s="1"/>
  <c r="A27" i="5"/>
  <c r="A42" i="5" s="1"/>
  <c r="A57" i="5" s="1"/>
  <c r="A72" i="5" s="1"/>
  <c r="B70" i="5" l="1"/>
  <c r="B4" i="5"/>
  <c r="AE118" i="5" l="1"/>
  <c r="AE119" i="5"/>
  <c r="K41" i="4"/>
  <c r="C41" i="4"/>
  <c r="O48" i="4"/>
  <c r="S48" i="4"/>
  <c r="O41" i="4"/>
  <c r="G41" i="4"/>
  <c r="S41" i="4"/>
  <c r="C48" i="4"/>
  <c r="K48" i="4"/>
  <c r="W48" i="4"/>
  <c r="G48" i="4"/>
  <c r="W41" i="4"/>
  <c r="C3" i="4"/>
  <c r="AE120" i="5" l="1"/>
  <c r="C43" i="4"/>
  <c r="K50" i="4"/>
  <c r="K43" i="4"/>
  <c r="G50" i="4"/>
  <c r="S50" i="4"/>
  <c r="C50" i="4"/>
  <c r="G43" i="4"/>
  <c r="O43" i="4"/>
  <c r="S43" i="4"/>
  <c r="W50" i="4"/>
  <c r="W43" i="4"/>
  <c r="O50" i="4"/>
  <c r="B67" i="5"/>
  <c r="G8" i="16"/>
  <c r="G19" i="16" s="1"/>
  <c r="G27" i="16" s="1"/>
  <c r="F8" i="16"/>
  <c r="F19" i="16" s="1"/>
  <c r="F27" i="16" s="1"/>
  <c r="C68" i="5"/>
  <c r="D68" i="5" s="1"/>
  <c r="E68" i="5" s="1"/>
  <c r="F68" i="5" s="1"/>
  <c r="G68" i="5" s="1"/>
  <c r="H68" i="5" s="1"/>
  <c r="I68" i="5" s="1"/>
  <c r="J68" i="5" s="1"/>
  <c r="K68" i="5" s="1"/>
  <c r="L68" i="5" s="1"/>
  <c r="M68" i="5" s="1"/>
  <c r="N68" i="5" s="1"/>
  <c r="O68" i="5" s="1"/>
  <c r="P68" i="5" s="1"/>
  <c r="Q68" i="5" s="1"/>
  <c r="R68" i="5" s="1"/>
  <c r="S68" i="5" s="1"/>
  <c r="T68" i="5" s="1"/>
  <c r="U68" i="5" s="1"/>
  <c r="V68" i="5" s="1"/>
  <c r="W68" i="5" s="1"/>
  <c r="X68" i="5" s="1"/>
  <c r="Y68" i="5" s="1"/>
  <c r="Z68" i="5" s="1"/>
  <c r="AA68" i="5" s="1"/>
  <c r="AB68" i="5" s="1"/>
  <c r="AC68" i="5" s="1"/>
  <c r="AD68" i="5" s="1"/>
  <c r="AE68" i="5" s="1"/>
  <c r="F102" i="5" l="1"/>
  <c r="B171" i="5"/>
  <c r="W52" i="4"/>
  <c r="E10" i="4" s="1"/>
  <c r="O52" i="4"/>
  <c r="S52" i="4"/>
  <c r="E9" i="4" s="1"/>
  <c r="K52" i="4"/>
  <c r="B12" i="16"/>
  <c r="B23" i="16" s="1"/>
  <c r="B31" i="16" s="1"/>
  <c r="B11" i="16"/>
  <c r="B22" i="16" s="1"/>
  <c r="B30" i="16" s="1"/>
  <c r="B10" i="16"/>
  <c r="B21" i="16" s="1"/>
  <c r="B29" i="16" s="1"/>
  <c r="B9" i="16"/>
  <c r="B20" i="16" s="1"/>
  <c r="B28" i="16" s="1"/>
  <c r="I16" i="17" l="1"/>
  <c r="J16" i="17" s="1"/>
  <c r="K16" i="17" s="1"/>
  <c r="L16" i="17" s="1"/>
  <c r="M16" i="17" s="1"/>
  <c r="N16" i="17" s="1"/>
  <c r="O16" i="17" s="1"/>
  <c r="P16" i="17" s="1"/>
  <c r="Q16" i="17" s="1"/>
  <c r="R16" i="17" s="1"/>
  <c r="S16" i="17" s="1"/>
  <c r="T16" i="17" s="1"/>
  <c r="U16" i="17" s="1"/>
  <c r="V16" i="17" s="1"/>
  <c r="W16" i="17" s="1"/>
  <c r="X16" i="17" s="1"/>
  <c r="Y16" i="17" s="1"/>
  <c r="Z16" i="17" s="1"/>
  <c r="AA16" i="17" s="1"/>
  <c r="AB16" i="17" s="1"/>
  <c r="AC16" i="17" s="1"/>
  <c r="AD16" i="17" s="1"/>
  <c r="AE16" i="17" s="1"/>
  <c r="F8" i="4"/>
  <c r="E8" i="4"/>
  <c r="I16" i="5"/>
  <c r="J16" i="5"/>
  <c r="C53" i="5"/>
  <c r="D53" i="5" s="1"/>
  <c r="E53" i="5" s="1"/>
  <c r="F53" i="5" s="1"/>
  <c r="G53" i="5" s="1"/>
  <c r="H53" i="5" s="1"/>
  <c r="I53" i="5" s="1"/>
  <c r="J53" i="5" s="1"/>
  <c r="K53" i="5" s="1"/>
  <c r="L53" i="5" s="1"/>
  <c r="M53" i="5" s="1"/>
  <c r="N53" i="5" s="1"/>
  <c r="O53" i="5" s="1"/>
  <c r="P53" i="5" s="1"/>
  <c r="Q53" i="5" s="1"/>
  <c r="R53" i="5" s="1"/>
  <c r="S53" i="5" s="1"/>
  <c r="T53" i="5" s="1"/>
  <c r="U53" i="5" s="1"/>
  <c r="V53" i="5" s="1"/>
  <c r="W53" i="5" s="1"/>
  <c r="X53" i="5" s="1"/>
  <c r="Y53" i="5" s="1"/>
  <c r="Z53" i="5" s="1"/>
  <c r="AA53" i="5" s="1"/>
  <c r="AB53" i="5" s="1"/>
  <c r="AC53" i="5" s="1"/>
  <c r="AD53" i="5" s="1"/>
  <c r="AE53" i="5" s="1"/>
  <c r="B52" i="5"/>
  <c r="C40" i="5"/>
  <c r="C38" i="5"/>
  <c r="D38" i="5" s="1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Q38" i="5" s="1"/>
  <c r="R38" i="5" s="1"/>
  <c r="S38" i="5" s="1"/>
  <c r="T38" i="5" s="1"/>
  <c r="U38" i="5" s="1"/>
  <c r="V38" i="5" s="1"/>
  <c r="W38" i="5" s="1"/>
  <c r="X38" i="5" s="1"/>
  <c r="Y38" i="5" s="1"/>
  <c r="Z38" i="5" s="1"/>
  <c r="AA38" i="5" s="1"/>
  <c r="AB38" i="5" s="1"/>
  <c r="AC38" i="5" s="1"/>
  <c r="AD38" i="5" s="1"/>
  <c r="AE38" i="5" s="1"/>
  <c r="B37" i="5"/>
  <c r="C23" i="5"/>
  <c r="D23" i="5" s="1"/>
  <c r="E23" i="5" s="1"/>
  <c r="F23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Q23" i="5" s="1"/>
  <c r="R23" i="5" s="1"/>
  <c r="S23" i="5" s="1"/>
  <c r="T23" i="5" s="1"/>
  <c r="U23" i="5" s="1"/>
  <c r="V23" i="5" s="1"/>
  <c r="W23" i="5" s="1"/>
  <c r="X23" i="5" s="1"/>
  <c r="Y23" i="5" s="1"/>
  <c r="Z23" i="5" s="1"/>
  <c r="AA23" i="5" s="1"/>
  <c r="AB23" i="5" s="1"/>
  <c r="AC23" i="5" s="1"/>
  <c r="AD23" i="5" s="1"/>
  <c r="AE23" i="5" s="1"/>
  <c r="B22" i="5"/>
  <c r="C10" i="5"/>
  <c r="C8" i="5"/>
  <c r="D8" i="5" s="1"/>
  <c r="B7" i="5"/>
  <c r="B3" i="5"/>
  <c r="AE136" i="5" l="1"/>
  <c r="AE137" i="5"/>
  <c r="B18" i="17"/>
  <c r="B19" i="17" s="1"/>
  <c r="C10" i="16" s="1"/>
  <c r="I16" i="18"/>
  <c r="J16" i="18" s="1"/>
  <c r="K16" i="18"/>
  <c r="C9" i="5"/>
  <c r="C13" i="5" s="1"/>
  <c r="C15" i="5" s="1"/>
  <c r="O28" i="4"/>
  <c r="D39" i="5"/>
  <c r="C39" i="5"/>
  <c r="C43" i="5" s="1"/>
  <c r="C45" i="5" s="1"/>
  <c r="K28" i="4"/>
  <c r="G28" i="4"/>
  <c r="C28" i="4"/>
  <c r="G21" i="4"/>
  <c r="W21" i="4"/>
  <c r="W28" i="4"/>
  <c r="O21" i="4"/>
  <c r="S28" i="4"/>
  <c r="C21" i="4"/>
  <c r="K21" i="4"/>
  <c r="S21" i="4"/>
  <c r="B109" i="5"/>
  <c r="E102" i="5"/>
  <c r="B158" i="5"/>
  <c r="D102" i="5"/>
  <c r="B145" i="5"/>
  <c r="C102" i="5"/>
  <c r="B127" i="5"/>
  <c r="C25" i="5"/>
  <c r="C24" i="5" s="1"/>
  <c r="D40" i="5"/>
  <c r="C55" i="5"/>
  <c r="C70" i="5" s="1"/>
  <c r="C69" i="5" s="1"/>
  <c r="D10" i="5"/>
  <c r="B73" i="5"/>
  <c r="B75" i="5" s="1"/>
  <c r="B175" i="5" s="1"/>
  <c r="B177" i="5" s="1"/>
  <c r="B58" i="5"/>
  <c r="B60" i="5" s="1"/>
  <c r="B162" i="5" s="1"/>
  <c r="B164" i="5" s="1"/>
  <c r="B28" i="5"/>
  <c r="B30" i="5" s="1"/>
  <c r="B131" i="5" s="1"/>
  <c r="B13" i="5"/>
  <c r="B15" i="5" s="1"/>
  <c r="B113" i="5" s="1"/>
  <c r="B115" i="5" s="1"/>
  <c r="B43" i="5"/>
  <c r="B45" i="5" s="1"/>
  <c r="B149" i="5" s="1"/>
  <c r="B151" i="5" s="1"/>
  <c r="E8" i="5"/>
  <c r="F8" i="5" s="1"/>
  <c r="L16" i="18" l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Z16" i="18" s="1"/>
  <c r="AA16" i="18" s="1"/>
  <c r="AB16" i="18" s="1"/>
  <c r="AC16" i="18" s="1"/>
  <c r="AD16" i="18" s="1"/>
  <c r="AE16" i="18" s="1"/>
  <c r="B18" i="18" s="1"/>
  <c r="B19" i="18" s="1"/>
  <c r="C11" i="16" s="1"/>
  <c r="C54" i="5"/>
  <c r="C58" i="5" s="1"/>
  <c r="C60" i="5" s="1"/>
  <c r="D25" i="5"/>
  <c r="D24" i="5" s="1"/>
  <c r="D28" i="5" s="1"/>
  <c r="D30" i="5" s="1"/>
  <c r="D131" i="5" s="1"/>
  <c r="D133" i="5" s="1"/>
  <c r="D9" i="5"/>
  <c r="D13" i="5" s="1"/>
  <c r="C73" i="5"/>
  <c r="C75" i="5" s="1"/>
  <c r="C149" i="5"/>
  <c r="C151" i="5" s="1"/>
  <c r="C113" i="5"/>
  <c r="C115" i="5" s="1"/>
  <c r="E40" i="5"/>
  <c r="E39" i="5" s="1"/>
  <c r="D55" i="5"/>
  <c r="D54" i="5" s="1"/>
  <c r="E10" i="5"/>
  <c r="C28" i="5"/>
  <c r="C30" i="5" s="1"/>
  <c r="D43" i="5"/>
  <c r="D45" i="5" s="1"/>
  <c r="D149" i="5" s="1"/>
  <c r="D151" i="5" s="1"/>
  <c r="G8" i="5"/>
  <c r="C175" i="5" l="1"/>
  <c r="C177" i="5" s="1"/>
  <c r="C162" i="5"/>
  <c r="C164" i="5" s="1"/>
  <c r="E25" i="5"/>
  <c r="E9" i="5"/>
  <c r="E13" i="5" s="1"/>
  <c r="C131" i="5"/>
  <c r="C133" i="5" s="1"/>
  <c r="D70" i="5"/>
  <c r="D58" i="5"/>
  <c r="D60" i="5" s="1"/>
  <c r="D162" i="5" s="1"/>
  <c r="D164" i="5" s="1"/>
  <c r="F40" i="5"/>
  <c r="F39" i="5" s="1"/>
  <c r="E55" i="5"/>
  <c r="E54" i="5" s="1"/>
  <c r="E43" i="5"/>
  <c r="E45" i="5" s="1"/>
  <c r="F10" i="5"/>
  <c r="H8" i="5"/>
  <c r="F9" i="5" l="1"/>
  <c r="F13" i="5" s="1"/>
  <c r="E24" i="5"/>
  <c r="E28" i="5" s="1"/>
  <c r="E30" i="5" s="1"/>
  <c r="D69" i="5"/>
  <c r="D73" i="5" s="1"/>
  <c r="D75" i="5" s="1"/>
  <c r="E149" i="5"/>
  <c r="E151" i="5" s="1"/>
  <c r="F25" i="5"/>
  <c r="E70" i="5"/>
  <c r="E58" i="5"/>
  <c r="E60" i="5" s="1"/>
  <c r="G40" i="5"/>
  <c r="G39" i="5" s="1"/>
  <c r="F55" i="5"/>
  <c r="F54" i="5" s="1"/>
  <c r="F43" i="5"/>
  <c r="F45" i="5" s="1"/>
  <c r="F149" i="5" s="1"/>
  <c r="F151" i="5" s="1"/>
  <c r="G10" i="5"/>
  <c r="I8" i="5"/>
  <c r="D175" i="5" l="1"/>
  <c r="D177" i="5" s="1"/>
  <c r="E162" i="5"/>
  <c r="E164" i="5" s="1"/>
  <c r="E131" i="5"/>
  <c r="E133" i="5" s="1"/>
  <c r="G25" i="5"/>
  <c r="G9" i="5"/>
  <c r="G13" i="5" s="1"/>
  <c r="E69" i="5"/>
  <c r="E73" i="5" s="1"/>
  <c r="E75" i="5" s="1"/>
  <c r="E175" i="5" s="1"/>
  <c r="E177" i="5" s="1"/>
  <c r="F24" i="5"/>
  <c r="F28" i="5" s="1"/>
  <c r="F30" i="5" s="1"/>
  <c r="F131" i="5" s="1"/>
  <c r="F133" i="5" s="1"/>
  <c r="H40" i="5"/>
  <c r="H39" i="5" s="1"/>
  <c r="G55" i="5"/>
  <c r="G54" i="5" s="1"/>
  <c r="G43" i="5"/>
  <c r="G45" i="5" s="1"/>
  <c r="G149" i="5" s="1"/>
  <c r="G151" i="5" s="1"/>
  <c r="F70" i="5"/>
  <c r="F58" i="5"/>
  <c r="F60" i="5" s="1"/>
  <c r="F162" i="5" s="1"/>
  <c r="F164" i="5" s="1"/>
  <c r="H10" i="5"/>
  <c r="H9" i="5" s="1"/>
  <c r="J8" i="5"/>
  <c r="G24" i="5" l="1"/>
  <c r="G28" i="5" s="1"/>
  <c r="G30" i="5" s="1"/>
  <c r="G131" i="5" s="1"/>
  <c r="G133" i="5" s="1"/>
  <c r="F69" i="5"/>
  <c r="F73" i="5" s="1"/>
  <c r="F75" i="5" s="1"/>
  <c r="H25" i="5"/>
  <c r="G70" i="5"/>
  <c r="G58" i="5"/>
  <c r="G60" i="5" s="1"/>
  <c r="I40" i="5"/>
  <c r="I39" i="5" s="1"/>
  <c r="H55" i="5"/>
  <c r="H54" i="5" s="1"/>
  <c r="H43" i="5"/>
  <c r="H45" i="5" s="1"/>
  <c r="H13" i="5"/>
  <c r="I10" i="5"/>
  <c r="K8" i="5"/>
  <c r="F175" i="5" l="1"/>
  <c r="F177" i="5" s="1"/>
  <c r="G162" i="5"/>
  <c r="G164" i="5" s="1"/>
  <c r="I25" i="5"/>
  <c r="I9" i="5"/>
  <c r="I13" i="5" s="1"/>
  <c r="G69" i="5"/>
  <c r="G73" i="5" s="1"/>
  <c r="G75" i="5" s="1"/>
  <c r="G175" i="5" s="1"/>
  <c r="G177" i="5" s="1"/>
  <c r="H24" i="5"/>
  <c r="H28" i="5" s="1"/>
  <c r="H30" i="5" s="1"/>
  <c r="H149" i="5"/>
  <c r="H151" i="5" s="1"/>
  <c r="H70" i="5"/>
  <c r="H58" i="5"/>
  <c r="H60" i="5" s="1"/>
  <c r="H162" i="5" s="1"/>
  <c r="H164" i="5" s="1"/>
  <c r="J40" i="5"/>
  <c r="J39" i="5" s="1"/>
  <c r="I55" i="5"/>
  <c r="I54" i="5" s="1"/>
  <c r="I43" i="5"/>
  <c r="J10" i="5"/>
  <c r="J9" i="5" s="1"/>
  <c r="L8" i="5"/>
  <c r="H131" i="5" l="1"/>
  <c r="H133" i="5" s="1"/>
  <c r="H69" i="5"/>
  <c r="H73" i="5" s="1"/>
  <c r="H75" i="5" s="1"/>
  <c r="H175" i="5" s="1"/>
  <c r="H177" i="5" s="1"/>
  <c r="I24" i="5"/>
  <c r="I28" i="5" s="1"/>
  <c r="J25" i="5"/>
  <c r="I70" i="5"/>
  <c r="I58" i="5"/>
  <c r="K40" i="5"/>
  <c r="K39" i="5" s="1"/>
  <c r="J55" i="5"/>
  <c r="J54" i="5" s="1"/>
  <c r="J43" i="5"/>
  <c r="K10" i="5"/>
  <c r="J13" i="5"/>
  <c r="M8" i="5"/>
  <c r="K25" i="5" l="1"/>
  <c r="K9" i="5"/>
  <c r="K13" i="5" s="1"/>
  <c r="J24" i="5"/>
  <c r="J28" i="5" s="1"/>
  <c r="I69" i="5"/>
  <c r="I73" i="5" s="1"/>
  <c r="I75" i="5" s="1"/>
  <c r="I175" i="5" s="1"/>
  <c r="I177" i="5" s="1"/>
  <c r="L40" i="5"/>
  <c r="L39" i="5" s="1"/>
  <c r="K55" i="5"/>
  <c r="K54" i="5" s="1"/>
  <c r="K43" i="5"/>
  <c r="J70" i="5"/>
  <c r="J58" i="5"/>
  <c r="L10" i="5"/>
  <c r="N8" i="5"/>
  <c r="L25" i="5" l="1"/>
  <c r="L9" i="5"/>
  <c r="L13" i="5" s="1"/>
  <c r="J69" i="5"/>
  <c r="J73" i="5" s="1"/>
  <c r="J75" i="5" s="1"/>
  <c r="J175" i="5" s="1"/>
  <c r="J177" i="5" s="1"/>
  <c r="K24" i="5"/>
  <c r="K28" i="5" s="1"/>
  <c r="K70" i="5"/>
  <c r="K58" i="5"/>
  <c r="M40" i="5"/>
  <c r="M39" i="5" s="1"/>
  <c r="L55" i="5"/>
  <c r="L54" i="5" s="1"/>
  <c r="L43" i="5"/>
  <c r="M10" i="5"/>
  <c r="O8" i="5"/>
  <c r="K69" i="5" l="1"/>
  <c r="K73" i="5" s="1"/>
  <c r="K75" i="5" s="1"/>
  <c r="K175" i="5" s="1"/>
  <c r="K177" i="5" s="1"/>
  <c r="M25" i="5"/>
  <c r="M9" i="5"/>
  <c r="M13" i="5" s="1"/>
  <c r="L24" i="5"/>
  <c r="L28" i="5" s="1"/>
  <c r="N40" i="5"/>
  <c r="N39" i="5" s="1"/>
  <c r="M55" i="5"/>
  <c r="M54" i="5" s="1"/>
  <c r="M43" i="5"/>
  <c r="L70" i="5"/>
  <c r="L58" i="5"/>
  <c r="N10" i="5"/>
  <c r="P8" i="5"/>
  <c r="N25" i="5" l="1"/>
  <c r="N9" i="5"/>
  <c r="N13" i="5" s="1"/>
  <c r="L69" i="5"/>
  <c r="L73" i="5" s="1"/>
  <c r="L75" i="5" s="1"/>
  <c r="L175" i="5" s="1"/>
  <c r="L177" i="5" s="1"/>
  <c r="M24" i="5"/>
  <c r="M28" i="5" s="1"/>
  <c r="M70" i="5"/>
  <c r="M58" i="5"/>
  <c r="O40" i="5"/>
  <c r="O39" i="5" s="1"/>
  <c r="N55" i="5"/>
  <c r="N54" i="5" s="1"/>
  <c r="N43" i="5"/>
  <c r="O10" i="5"/>
  <c r="Q8" i="5"/>
  <c r="N24" i="5" l="1"/>
  <c r="N28" i="5" s="1"/>
  <c r="M69" i="5"/>
  <c r="M73" i="5" s="1"/>
  <c r="M75" i="5" s="1"/>
  <c r="M175" i="5" s="1"/>
  <c r="M177" i="5" s="1"/>
  <c r="O25" i="5"/>
  <c r="O9" i="5"/>
  <c r="O13" i="5" s="1"/>
  <c r="P40" i="5"/>
  <c r="P39" i="5" s="1"/>
  <c r="O55" i="5"/>
  <c r="O54" i="5" s="1"/>
  <c r="O43" i="5"/>
  <c r="N70" i="5"/>
  <c r="N58" i="5"/>
  <c r="P10" i="5"/>
  <c r="R8" i="5"/>
  <c r="P25" i="5" l="1"/>
  <c r="P9" i="5"/>
  <c r="P13" i="5" s="1"/>
  <c r="N69" i="5"/>
  <c r="N73" i="5" s="1"/>
  <c r="N75" i="5" s="1"/>
  <c r="N175" i="5" s="1"/>
  <c r="N177" i="5" s="1"/>
  <c r="O24" i="5"/>
  <c r="O28" i="5" s="1"/>
  <c r="O70" i="5"/>
  <c r="O58" i="5"/>
  <c r="Q40" i="5"/>
  <c r="Q39" i="5" s="1"/>
  <c r="P55" i="5"/>
  <c r="P54" i="5" s="1"/>
  <c r="P43" i="5"/>
  <c r="Q10" i="5"/>
  <c r="S8" i="5"/>
  <c r="P24" i="5" l="1"/>
  <c r="P28" i="5" s="1"/>
  <c r="O69" i="5"/>
  <c r="O73" i="5" s="1"/>
  <c r="O75" i="5" s="1"/>
  <c r="O175" i="5" s="1"/>
  <c r="O177" i="5" s="1"/>
  <c r="Q25" i="5"/>
  <c r="Q9" i="5"/>
  <c r="Q13" i="5" s="1"/>
  <c r="R40" i="5"/>
  <c r="R39" i="5" s="1"/>
  <c r="Q55" i="5"/>
  <c r="Q54" i="5" s="1"/>
  <c r="Q43" i="5"/>
  <c r="P70" i="5"/>
  <c r="P58" i="5"/>
  <c r="R10" i="5"/>
  <c r="T8" i="5"/>
  <c r="P69" i="5" l="1"/>
  <c r="P73" i="5" s="1"/>
  <c r="P75" i="5" s="1"/>
  <c r="P175" i="5" s="1"/>
  <c r="P177" i="5" s="1"/>
  <c r="Q24" i="5"/>
  <c r="Q28" i="5" s="1"/>
  <c r="R25" i="5"/>
  <c r="R9" i="5"/>
  <c r="R13" i="5" s="1"/>
  <c r="Q70" i="5"/>
  <c r="Q58" i="5"/>
  <c r="S40" i="5"/>
  <c r="S39" i="5" s="1"/>
  <c r="R55" i="5"/>
  <c r="R54" i="5" s="1"/>
  <c r="R43" i="5"/>
  <c r="S10" i="5"/>
  <c r="U8" i="5"/>
  <c r="R24" i="5" l="1"/>
  <c r="R28" i="5" s="1"/>
  <c r="Q69" i="5"/>
  <c r="Q73" i="5" s="1"/>
  <c r="Q75" i="5" s="1"/>
  <c r="Q175" i="5" s="1"/>
  <c r="Q177" i="5" s="1"/>
  <c r="S25" i="5"/>
  <c r="S9" i="5"/>
  <c r="S13" i="5" s="1"/>
  <c r="T40" i="5"/>
  <c r="T39" i="5" s="1"/>
  <c r="S55" i="5"/>
  <c r="S54" i="5" s="1"/>
  <c r="S43" i="5"/>
  <c r="R70" i="5"/>
  <c r="R58" i="5"/>
  <c r="T10" i="5"/>
  <c r="V8" i="5"/>
  <c r="S24" i="5" l="1"/>
  <c r="S28" i="5" s="1"/>
  <c r="T25" i="5"/>
  <c r="T9" i="5"/>
  <c r="T13" i="5" s="1"/>
  <c r="R69" i="5"/>
  <c r="R73" i="5" s="1"/>
  <c r="R75" i="5" s="1"/>
  <c r="R175" i="5" s="1"/>
  <c r="R177" i="5" s="1"/>
  <c r="U40" i="5"/>
  <c r="U39" i="5" s="1"/>
  <c r="T55" i="5"/>
  <c r="T54" i="5" s="1"/>
  <c r="T43" i="5"/>
  <c r="S70" i="5"/>
  <c r="S58" i="5"/>
  <c r="U10" i="5"/>
  <c r="W8" i="5"/>
  <c r="U25" i="5" l="1"/>
  <c r="U9" i="5"/>
  <c r="U13" i="5" s="1"/>
  <c r="T24" i="5"/>
  <c r="T28" i="5" s="1"/>
  <c r="S69" i="5"/>
  <c r="S73" i="5" s="1"/>
  <c r="S75" i="5" s="1"/>
  <c r="S175" i="5" s="1"/>
  <c r="S177" i="5" s="1"/>
  <c r="T70" i="5"/>
  <c r="T58" i="5"/>
  <c r="V40" i="5"/>
  <c r="V39" i="5" s="1"/>
  <c r="U55" i="5"/>
  <c r="U54" i="5" s="1"/>
  <c r="U43" i="5"/>
  <c r="V10" i="5"/>
  <c r="X8" i="5"/>
  <c r="Y8" i="5" s="1"/>
  <c r="Z8" i="5" s="1"/>
  <c r="AA8" i="5" s="1"/>
  <c r="AB8" i="5" s="1"/>
  <c r="AC8" i="5" s="1"/>
  <c r="AD8" i="5" s="1"/>
  <c r="AE8" i="5" s="1"/>
  <c r="T69" i="5" l="1"/>
  <c r="T73" i="5" s="1"/>
  <c r="T75" i="5" s="1"/>
  <c r="T175" i="5" s="1"/>
  <c r="T177" i="5" s="1"/>
  <c r="V25" i="5"/>
  <c r="V9" i="5"/>
  <c r="V13" i="5" s="1"/>
  <c r="U24" i="5"/>
  <c r="U28" i="5" s="1"/>
  <c r="U70" i="5"/>
  <c r="U58" i="5"/>
  <c r="W40" i="5"/>
  <c r="W39" i="5" s="1"/>
  <c r="V55" i="5"/>
  <c r="V54" i="5" s="1"/>
  <c r="V43" i="5"/>
  <c r="W10" i="5"/>
  <c r="E8" i="16"/>
  <c r="E19" i="16" s="1"/>
  <c r="E27" i="16" s="1"/>
  <c r="D8" i="16"/>
  <c r="D19" i="16" s="1"/>
  <c r="D27" i="16" s="1"/>
  <c r="C8" i="16"/>
  <c r="C19" i="16" s="1"/>
  <c r="C27" i="16" s="1"/>
  <c r="W25" i="5" l="1"/>
  <c r="W9" i="5"/>
  <c r="W13" i="5" s="1"/>
  <c r="U69" i="5"/>
  <c r="U73" i="5" s="1"/>
  <c r="U75" i="5" s="1"/>
  <c r="U175" i="5" s="1"/>
  <c r="U177" i="5" s="1"/>
  <c r="V24" i="5"/>
  <c r="V28" i="5" s="1"/>
  <c r="X40" i="5"/>
  <c r="X39" i="5" s="1"/>
  <c r="W55" i="5"/>
  <c r="W54" i="5" s="1"/>
  <c r="W43" i="5"/>
  <c r="V70" i="5"/>
  <c r="V58" i="5"/>
  <c r="X10" i="5"/>
  <c r="X9" i="5" s="1"/>
  <c r="C2" i="4"/>
  <c r="I10" i="1"/>
  <c r="H10" i="1"/>
  <c r="G10" i="1"/>
  <c r="F10" i="1"/>
  <c r="E10" i="1"/>
  <c r="D10" i="1"/>
  <c r="C10" i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2" i="5"/>
  <c r="A66" i="5" s="1"/>
  <c r="A170" i="5" s="1"/>
  <c r="V69" i="5" l="1"/>
  <c r="V73" i="5" s="1"/>
  <c r="V75" i="5" s="1"/>
  <c r="V175" i="5" s="1"/>
  <c r="V177" i="5" s="1"/>
  <c r="W24" i="5"/>
  <c r="W28" i="5" s="1"/>
  <c r="K30" i="4"/>
  <c r="S30" i="4"/>
  <c r="K23" i="4"/>
  <c r="O30" i="4"/>
  <c r="W30" i="4"/>
  <c r="S23" i="4"/>
  <c r="O23" i="4"/>
  <c r="W23" i="4"/>
  <c r="Y10" i="5"/>
  <c r="Y9" i="5" s="1"/>
  <c r="X25" i="5"/>
  <c r="W70" i="5"/>
  <c r="W58" i="5"/>
  <c r="Y40" i="5"/>
  <c r="Y39" i="5" s="1"/>
  <c r="X55" i="5"/>
  <c r="X54" i="5" s="1"/>
  <c r="X43" i="5"/>
  <c r="X13" i="5"/>
  <c r="A51" i="5"/>
  <c r="A157" i="5" s="1"/>
  <c r="A36" i="5"/>
  <c r="A144" i="5" s="1"/>
  <c r="A6" i="5"/>
  <c r="A84" i="5" s="1"/>
  <c r="A21" i="5"/>
  <c r="A126" i="5" s="1"/>
  <c r="G30" i="4"/>
  <c r="G23" i="4"/>
  <c r="C30" i="4"/>
  <c r="C23" i="4"/>
  <c r="W69" i="5" l="1"/>
  <c r="W73" i="5" s="1"/>
  <c r="W75" i="5" s="1"/>
  <c r="W175" i="5" s="1"/>
  <c r="W177" i="5" s="1"/>
  <c r="X24" i="5"/>
  <c r="X28" i="5" s="1"/>
  <c r="A108" i="5"/>
  <c r="K32" i="4"/>
  <c r="W32" i="4"/>
  <c r="C10" i="4" s="1"/>
  <c r="S32" i="4"/>
  <c r="C9" i="4" s="1"/>
  <c r="O32" i="4"/>
  <c r="X70" i="5"/>
  <c r="X58" i="5"/>
  <c r="Y55" i="5"/>
  <c r="Y54" i="5" s="1"/>
  <c r="Z40" i="5"/>
  <c r="Z39" i="5" s="1"/>
  <c r="Y43" i="5"/>
  <c r="Y45" i="5" s="1"/>
  <c r="Y149" i="5" s="1"/>
  <c r="Y25" i="5"/>
  <c r="Z10" i="5"/>
  <c r="Z9" i="5" s="1"/>
  <c r="Y13" i="5"/>
  <c r="Y15" i="5" s="1"/>
  <c r="Y113" i="5" s="1"/>
  <c r="C32" i="4"/>
  <c r="G32" i="4"/>
  <c r="Y151" i="5" l="1"/>
  <c r="Y115" i="5"/>
  <c r="I31" i="17"/>
  <c r="I31" i="5"/>
  <c r="I46" i="5" s="1"/>
  <c r="Y24" i="5"/>
  <c r="Y28" i="5" s="1"/>
  <c r="Y30" i="5" s="1"/>
  <c r="Y131" i="5" s="1"/>
  <c r="X69" i="5"/>
  <c r="X73" i="5" s="1"/>
  <c r="X75" i="5" s="1"/>
  <c r="D8" i="4"/>
  <c r="C8" i="4"/>
  <c r="Z25" i="5"/>
  <c r="AA10" i="5"/>
  <c r="AA9" i="5" s="1"/>
  <c r="Z13" i="5"/>
  <c r="Z15" i="5" s="1"/>
  <c r="Z113" i="5" s="1"/>
  <c r="Z115" i="5" s="1"/>
  <c r="Z55" i="5"/>
  <c r="Z54" i="5" s="1"/>
  <c r="Z43" i="5"/>
  <c r="Z45" i="5" s="1"/>
  <c r="Z149" i="5" s="1"/>
  <c r="Z151" i="5" s="1"/>
  <c r="AA40" i="5"/>
  <c r="AA39" i="5" s="1"/>
  <c r="Y70" i="5"/>
  <c r="Y58" i="5"/>
  <c r="Y60" i="5" s="1"/>
  <c r="Y162" i="5" s="1"/>
  <c r="C7" i="4"/>
  <c r="G52" i="4"/>
  <c r="C52" i="4"/>
  <c r="D7" i="4" l="1"/>
  <c r="K31" i="20" s="1"/>
  <c r="L31" i="20" s="1"/>
  <c r="I31" i="20"/>
  <c r="I46" i="20" s="1"/>
  <c r="I61" i="20" s="1"/>
  <c r="I76" i="20" s="1"/>
  <c r="Y133" i="5"/>
  <c r="Y164" i="5"/>
  <c r="J31" i="5"/>
  <c r="J46" i="5" s="1"/>
  <c r="J61" i="5" s="1"/>
  <c r="J76" i="5" s="1"/>
  <c r="I31" i="18"/>
  <c r="I46" i="18" s="1"/>
  <c r="K31" i="18"/>
  <c r="J31" i="17"/>
  <c r="I46" i="17"/>
  <c r="X175" i="5"/>
  <c r="X177" i="5" s="1"/>
  <c r="Z24" i="5"/>
  <c r="Z28" i="5" s="1"/>
  <c r="Z30" i="5" s="1"/>
  <c r="Z131" i="5" s="1"/>
  <c r="Z133" i="5" s="1"/>
  <c r="Y69" i="5"/>
  <c r="Y73" i="5" s="1"/>
  <c r="Y75" i="5" s="1"/>
  <c r="Y175" i="5" s="1"/>
  <c r="F7" i="4"/>
  <c r="K16" i="20" s="1"/>
  <c r="L16" i="20" s="1"/>
  <c r="M16" i="20" s="1"/>
  <c r="N16" i="20" s="1"/>
  <c r="O16" i="20" s="1"/>
  <c r="P16" i="20" s="1"/>
  <c r="Q16" i="20" s="1"/>
  <c r="R16" i="20" s="1"/>
  <c r="S16" i="20" s="1"/>
  <c r="T16" i="20" s="1"/>
  <c r="U16" i="20" s="1"/>
  <c r="V16" i="20" s="1"/>
  <c r="W16" i="20" s="1"/>
  <c r="X16" i="20" s="1"/>
  <c r="Y16" i="20" s="1"/>
  <c r="Z16" i="20" s="1"/>
  <c r="AA16" i="20" s="1"/>
  <c r="AB16" i="20" s="1"/>
  <c r="AC16" i="20" s="1"/>
  <c r="AD16" i="20" s="1"/>
  <c r="AE16" i="20" s="1"/>
  <c r="E7" i="4"/>
  <c r="I16" i="20" s="1"/>
  <c r="I61" i="5"/>
  <c r="Z70" i="5"/>
  <c r="Z58" i="5"/>
  <c r="Z60" i="5" s="1"/>
  <c r="Z162" i="5" s="1"/>
  <c r="Z164" i="5" s="1"/>
  <c r="AA25" i="5"/>
  <c r="AB10" i="5"/>
  <c r="AB9" i="5" s="1"/>
  <c r="AA13" i="5"/>
  <c r="AA15" i="5" s="1"/>
  <c r="AA113" i="5" s="1"/>
  <c r="AA55" i="5"/>
  <c r="AA54" i="5" s="1"/>
  <c r="AB40" i="5"/>
  <c r="AB39" i="5" s="1"/>
  <c r="AA43" i="5"/>
  <c r="AA45" i="5" s="1"/>
  <c r="AA149" i="5" s="1"/>
  <c r="D15" i="5"/>
  <c r="F15" i="5"/>
  <c r="F113" i="5" s="1"/>
  <c r="F115" i="5" s="1"/>
  <c r="H15" i="5"/>
  <c r="H113" i="5" s="1"/>
  <c r="H115" i="5" s="1"/>
  <c r="E15" i="5"/>
  <c r="E113" i="5" s="1"/>
  <c r="E115" i="5" s="1"/>
  <c r="G15" i="5"/>
  <c r="G113" i="5" s="1"/>
  <c r="G115" i="5" s="1"/>
  <c r="K46" i="20" l="1"/>
  <c r="K61" i="20" s="1"/>
  <c r="K76" i="20" s="1"/>
  <c r="K31" i="5"/>
  <c r="K46" i="5" s="1"/>
  <c r="J31" i="20"/>
  <c r="J46" i="20" s="1"/>
  <c r="J61" i="20" s="1"/>
  <c r="J76" i="20" s="1"/>
  <c r="J16" i="20"/>
  <c r="B18" i="20" s="1"/>
  <c r="B19" i="20" s="1"/>
  <c r="C12" i="16" s="1"/>
  <c r="Y177" i="5"/>
  <c r="I61" i="17"/>
  <c r="M31" i="20"/>
  <c r="L46" i="20"/>
  <c r="L61" i="20" s="1"/>
  <c r="L76" i="20" s="1"/>
  <c r="J31" i="18"/>
  <c r="J46" i="18" s="1"/>
  <c r="J61" i="18" s="1"/>
  <c r="J76" i="18" s="1"/>
  <c r="I61" i="18"/>
  <c r="K31" i="17"/>
  <c r="J46" i="17"/>
  <c r="J61" i="17" s="1"/>
  <c r="J76" i="17" s="1"/>
  <c r="AA24" i="5"/>
  <c r="AA28" i="5" s="1"/>
  <c r="AA30" i="5" s="1"/>
  <c r="AA131" i="5" s="1"/>
  <c r="AA133" i="5" s="1"/>
  <c r="Z69" i="5"/>
  <c r="Z73" i="5" s="1"/>
  <c r="Z75" i="5" s="1"/>
  <c r="Z175" i="5" s="1"/>
  <c r="Z177" i="5" s="1"/>
  <c r="I76" i="5"/>
  <c r="D113" i="5"/>
  <c r="D115" i="5" s="1"/>
  <c r="AA151" i="5"/>
  <c r="AA115" i="5"/>
  <c r="AB55" i="5"/>
  <c r="AB54" i="5" s="1"/>
  <c r="AC40" i="5"/>
  <c r="AC39" i="5" s="1"/>
  <c r="AB43" i="5"/>
  <c r="AB45" i="5" s="1"/>
  <c r="AB149" i="5" s="1"/>
  <c r="AB151" i="5" s="1"/>
  <c r="AA70" i="5"/>
  <c r="AA58" i="5"/>
  <c r="AA60" i="5" s="1"/>
  <c r="AA162" i="5" s="1"/>
  <c r="AB25" i="5"/>
  <c r="AC10" i="5"/>
  <c r="AC9" i="5" s="1"/>
  <c r="AB13" i="5"/>
  <c r="AB15" i="5" s="1"/>
  <c r="AB113" i="5" s="1"/>
  <c r="K16" i="5"/>
  <c r="L31" i="5" l="1"/>
  <c r="M31" i="5" s="1"/>
  <c r="I76" i="17"/>
  <c r="AB115" i="5"/>
  <c r="M46" i="20"/>
  <c r="M61" i="20" s="1"/>
  <c r="M76" i="20" s="1"/>
  <c r="N31" i="20"/>
  <c r="I76" i="18"/>
  <c r="K46" i="18"/>
  <c r="L31" i="18"/>
  <c r="K46" i="17"/>
  <c r="L31" i="17"/>
  <c r="AB24" i="5"/>
  <c r="AB28" i="5" s="1"/>
  <c r="AB30" i="5" s="1"/>
  <c r="AB131" i="5" s="1"/>
  <c r="AB133" i="5" s="1"/>
  <c r="AA69" i="5"/>
  <c r="AA73" i="5" s="1"/>
  <c r="AA75" i="5" s="1"/>
  <c r="AA175" i="5" s="1"/>
  <c r="AA177" i="5" s="1"/>
  <c r="K61" i="5"/>
  <c r="AA164" i="5"/>
  <c r="L16" i="5"/>
  <c r="M16" i="5" s="1"/>
  <c r="N16" i="5" s="1"/>
  <c r="O16" i="5" s="1"/>
  <c r="P16" i="5" s="1"/>
  <c r="Q16" i="5" s="1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AB16" i="5" s="1"/>
  <c r="AC16" i="5" s="1"/>
  <c r="AD16" i="5" s="1"/>
  <c r="AE16" i="5" s="1"/>
  <c r="AC25" i="5"/>
  <c r="AD10" i="5"/>
  <c r="AD9" i="5" s="1"/>
  <c r="AC13" i="5"/>
  <c r="AC15" i="5" s="1"/>
  <c r="AC113" i="5" s="1"/>
  <c r="AC115" i="5" s="1"/>
  <c r="AC55" i="5"/>
  <c r="AC54" i="5" s="1"/>
  <c r="AC43" i="5"/>
  <c r="AC45" i="5" s="1"/>
  <c r="AC149" i="5" s="1"/>
  <c r="AD40" i="5"/>
  <c r="AD39" i="5" s="1"/>
  <c r="AB70" i="5"/>
  <c r="AB58" i="5"/>
  <c r="AB60" i="5" s="1"/>
  <c r="AB162" i="5" s="1"/>
  <c r="AB164" i="5" s="1"/>
  <c r="R10" i="1"/>
  <c r="J10" i="1"/>
  <c r="O10" i="1"/>
  <c r="L10" i="1"/>
  <c r="AG10" i="1"/>
  <c r="AF10" i="1"/>
  <c r="AD10" i="1"/>
  <c r="AB10" i="1"/>
  <c r="Z10" i="1"/>
  <c r="X10" i="1"/>
  <c r="U10" i="1"/>
  <c r="S10" i="1"/>
  <c r="V10" i="1"/>
  <c r="N10" i="1"/>
  <c r="P10" i="1"/>
  <c r="M10" i="1"/>
  <c r="K10" i="1"/>
  <c r="AE10" i="1"/>
  <c r="AC10" i="1"/>
  <c r="AA10" i="1"/>
  <c r="Y10" i="1"/>
  <c r="W10" i="1"/>
  <c r="T10" i="1"/>
  <c r="Q10" i="1"/>
  <c r="AE114" i="5" l="1"/>
  <c r="L46" i="5"/>
  <c r="L61" i="5" s="1"/>
  <c r="O31" i="20"/>
  <c r="N46" i="20"/>
  <c r="N61" i="20" s="1"/>
  <c r="N76" i="20" s="1"/>
  <c r="AC151" i="5"/>
  <c r="AE150" i="5"/>
  <c r="K61" i="17"/>
  <c r="M31" i="18"/>
  <c r="L46" i="18"/>
  <c r="L61" i="18" s="1"/>
  <c r="L76" i="18" s="1"/>
  <c r="K61" i="18"/>
  <c r="L46" i="17"/>
  <c r="L61" i="17" s="1"/>
  <c r="L76" i="17" s="1"/>
  <c r="M31" i="17"/>
  <c r="AC24" i="5"/>
  <c r="AC28" i="5" s="1"/>
  <c r="AC30" i="5" s="1"/>
  <c r="AC131" i="5" s="1"/>
  <c r="AC133" i="5" s="1"/>
  <c r="AB69" i="5"/>
  <c r="AB73" i="5" s="1"/>
  <c r="AB75" i="5" s="1"/>
  <c r="AB175" i="5" s="1"/>
  <c r="AB177" i="5" s="1"/>
  <c r="K76" i="5"/>
  <c r="AD55" i="5"/>
  <c r="AD54" i="5" s="1"/>
  <c r="AE40" i="5"/>
  <c r="AE39" i="5" s="1"/>
  <c r="AD43" i="5"/>
  <c r="AD45" i="5" s="1"/>
  <c r="AD149" i="5" s="1"/>
  <c r="AD151" i="5" s="1"/>
  <c r="AC70" i="5"/>
  <c r="AC58" i="5"/>
  <c r="AC60" i="5" s="1"/>
  <c r="AC162" i="5" s="1"/>
  <c r="AC164" i="5" s="1"/>
  <c r="AE10" i="5"/>
  <c r="B18" i="5" s="1"/>
  <c r="AD25" i="5"/>
  <c r="AD13" i="5"/>
  <c r="AD15" i="5" s="1"/>
  <c r="AD113" i="5" s="1"/>
  <c r="AD115" i="5" s="1"/>
  <c r="M46" i="5"/>
  <c r="N31" i="5"/>
  <c r="S45" i="5"/>
  <c r="S149" i="5" s="1"/>
  <c r="S151" i="5" s="1"/>
  <c r="S60" i="5"/>
  <c r="S162" i="5" s="1"/>
  <c r="S164" i="5" s="1"/>
  <c r="S30" i="5"/>
  <c r="S131" i="5" s="1"/>
  <c r="S133" i="5" s="1"/>
  <c r="S15" i="5"/>
  <c r="S113" i="5" s="1"/>
  <c r="S115" i="5" s="1"/>
  <c r="J15" i="5"/>
  <c r="J113" i="5" s="1"/>
  <c r="J115" i="5" s="1"/>
  <c r="J45" i="5"/>
  <c r="J149" i="5" s="1"/>
  <c r="J151" i="5" s="1"/>
  <c r="J30" i="5"/>
  <c r="J131" i="5" s="1"/>
  <c r="J133" i="5" s="1"/>
  <c r="J60" i="5"/>
  <c r="J162" i="5" s="1"/>
  <c r="J164" i="5" s="1"/>
  <c r="P45" i="5"/>
  <c r="P149" i="5" s="1"/>
  <c r="P151" i="5" s="1"/>
  <c r="P30" i="5"/>
  <c r="P131" i="5" s="1"/>
  <c r="P133" i="5" s="1"/>
  <c r="P60" i="5"/>
  <c r="P162" i="5" s="1"/>
  <c r="P164" i="5" s="1"/>
  <c r="P15" i="5"/>
  <c r="P113" i="5" s="1"/>
  <c r="P115" i="5" s="1"/>
  <c r="V45" i="5"/>
  <c r="V149" i="5" s="1"/>
  <c r="V151" i="5" s="1"/>
  <c r="V30" i="5"/>
  <c r="V131" i="5" s="1"/>
  <c r="V133" i="5" s="1"/>
  <c r="V60" i="5"/>
  <c r="V162" i="5" s="1"/>
  <c r="V164" i="5" s="1"/>
  <c r="V15" i="5"/>
  <c r="V113" i="5" s="1"/>
  <c r="V115" i="5" s="1"/>
  <c r="L45" i="5"/>
  <c r="L149" i="5" s="1"/>
  <c r="L151" i="5" s="1"/>
  <c r="L60" i="5"/>
  <c r="L162" i="5" s="1"/>
  <c r="L164" i="5" s="1"/>
  <c r="L30" i="5"/>
  <c r="L131" i="5" s="1"/>
  <c r="L133" i="5" s="1"/>
  <c r="L15" i="5"/>
  <c r="L113" i="5" s="1"/>
  <c r="L115" i="5" s="1"/>
  <c r="U45" i="5"/>
  <c r="U149" i="5" s="1"/>
  <c r="U151" i="5" s="1"/>
  <c r="U60" i="5"/>
  <c r="U162" i="5" s="1"/>
  <c r="U164" i="5" s="1"/>
  <c r="U30" i="5"/>
  <c r="U131" i="5" s="1"/>
  <c r="U133" i="5" s="1"/>
  <c r="U15" i="5"/>
  <c r="U113" i="5" s="1"/>
  <c r="U115" i="5" s="1"/>
  <c r="T45" i="5"/>
  <c r="T149" i="5" s="1"/>
  <c r="T151" i="5" s="1"/>
  <c r="T30" i="5"/>
  <c r="T131" i="5" s="1"/>
  <c r="T133" i="5" s="1"/>
  <c r="T60" i="5"/>
  <c r="T162" i="5" s="1"/>
  <c r="T164" i="5" s="1"/>
  <c r="T15" i="5"/>
  <c r="T113" i="5" s="1"/>
  <c r="T115" i="5" s="1"/>
  <c r="N45" i="5"/>
  <c r="N149" i="5" s="1"/>
  <c r="N151" i="5" s="1"/>
  <c r="N30" i="5"/>
  <c r="N131" i="5" s="1"/>
  <c r="N133" i="5" s="1"/>
  <c r="N60" i="5"/>
  <c r="N162" i="5" s="1"/>
  <c r="N164" i="5" s="1"/>
  <c r="N15" i="5"/>
  <c r="N113" i="5" s="1"/>
  <c r="N115" i="5" s="1"/>
  <c r="Q45" i="5"/>
  <c r="Q149" i="5" s="1"/>
  <c r="Q151" i="5" s="1"/>
  <c r="Q60" i="5"/>
  <c r="Q162" i="5" s="1"/>
  <c r="Q164" i="5" s="1"/>
  <c r="Q30" i="5"/>
  <c r="Q131" i="5" s="1"/>
  <c r="Q133" i="5" s="1"/>
  <c r="Q15" i="5"/>
  <c r="Q113" i="5" s="1"/>
  <c r="Q115" i="5" s="1"/>
  <c r="X45" i="5"/>
  <c r="X149" i="5" s="1"/>
  <c r="X151" i="5" s="1"/>
  <c r="X60" i="5"/>
  <c r="X162" i="5" s="1"/>
  <c r="X164" i="5" s="1"/>
  <c r="X30" i="5"/>
  <c r="X131" i="5" s="1"/>
  <c r="X133" i="5" s="1"/>
  <c r="X15" i="5"/>
  <c r="X113" i="5" s="1"/>
  <c r="X115" i="5" s="1"/>
  <c r="O45" i="5"/>
  <c r="O149" i="5" s="1"/>
  <c r="O151" i="5" s="1"/>
  <c r="O60" i="5"/>
  <c r="O162" i="5" s="1"/>
  <c r="O164" i="5" s="1"/>
  <c r="O30" i="5"/>
  <c r="O131" i="5" s="1"/>
  <c r="O133" i="5" s="1"/>
  <c r="O15" i="5"/>
  <c r="O113" i="5" s="1"/>
  <c r="O115" i="5" s="1"/>
  <c r="M45" i="5"/>
  <c r="M149" i="5" s="1"/>
  <c r="M151" i="5" s="1"/>
  <c r="M60" i="5"/>
  <c r="M162" i="5" s="1"/>
  <c r="M164" i="5" s="1"/>
  <c r="M30" i="5"/>
  <c r="M131" i="5" s="1"/>
  <c r="M133" i="5" s="1"/>
  <c r="M15" i="5"/>
  <c r="M113" i="5" s="1"/>
  <c r="M115" i="5" s="1"/>
  <c r="R45" i="5"/>
  <c r="R149" i="5" s="1"/>
  <c r="R151" i="5" s="1"/>
  <c r="R60" i="5"/>
  <c r="R162" i="5" s="1"/>
  <c r="R164" i="5" s="1"/>
  <c r="R30" i="5"/>
  <c r="R131" i="5" s="1"/>
  <c r="R133" i="5" s="1"/>
  <c r="R15" i="5"/>
  <c r="R113" i="5" s="1"/>
  <c r="R115" i="5" s="1"/>
  <c r="W45" i="5"/>
  <c r="W149" i="5" s="1"/>
  <c r="W151" i="5" s="1"/>
  <c r="W60" i="5"/>
  <c r="W162" i="5" s="1"/>
  <c r="W164" i="5" s="1"/>
  <c r="W30" i="5"/>
  <c r="W131" i="5" s="1"/>
  <c r="W133" i="5" s="1"/>
  <c r="W15" i="5"/>
  <c r="W113" i="5" s="1"/>
  <c r="W115" i="5" s="1"/>
  <c r="K45" i="5"/>
  <c r="K149" i="5" s="1"/>
  <c r="K151" i="5" s="1"/>
  <c r="K60" i="5"/>
  <c r="K162" i="5" s="1"/>
  <c r="K164" i="5" s="1"/>
  <c r="K30" i="5"/>
  <c r="K131" i="5" s="1"/>
  <c r="K133" i="5" s="1"/>
  <c r="K15" i="5"/>
  <c r="K113" i="5" s="1"/>
  <c r="K115" i="5" s="1"/>
  <c r="I15" i="5"/>
  <c r="I45" i="5"/>
  <c r="I30" i="5"/>
  <c r="I60" i="5"/>
  <c r="AE163" i="5" l="1"/>
  <c r="AE132" i="5"/>
  <c r="P31" i="20"/>
  <c r="O46" i="20"/>
  <c r="O61" i="20" s="1"/>
  <c r="O76" i="20" s="1"/>
  <c r="M61" i="5"/>
  <c r="M76" i="5" s="1"/>
  <c r="K76" i="17"/>
  <c r="K76" i="18"/>
  <c r="M46" i="18"/>
  <c r="N31" i="18"/>
  <c r="M46" i="17"/>
  <c r="M61" i="17" s="1"/>
  <c r="M76" i="17" s="1"/>
  <c r="N31" i="17"/>
  <c r="AD24" i="5"/>
  <c r="AD28" i="5" s="1"/>
  <c r="AD30" i="5" s="1"/>
  <c r="AD131" i="5" s="1"/>
  <c r="AD133" i="5" s="1"/>
  <c r="AE9" i="5"/>
  <c r="AE13" i="5" s="1"/>
  <c r="AE15" i="5" s="1"/>
  <c r="B17" i="5" s="1"/>
  <c r="B103" i="5" s="1"/>
  <c r="B98" i="5"/>
  <c r="B99" i="5"/>
  <c r="AC69" i="5"/>
  <c r="AC73" i="5" s="1"/>
  <c r="AC75" i="5" s="1"/>
  <c r="AC175" i="5" s="1"/>
  <c r="I162" i="5"/>
  <c r="I164" i="5" s="1"/>
  <c r="I149" i="5"/>
  <c r="I151" i="5" s="1"/>
  <c r="I131" i="5"/>
  <c r="I133" i="5" s="1"/>
  <c r="I113" i="5"/>
  <c r="I115" i="5" s="1"/>
  <c r="AE25" i="5"/>
  <c r="AE43" i="5"/>
  <c r="AE45" i="5" s="1"/>
  <c r="AE55" i="5"/>
  <c r="AE54" i="5" s="1"/>
  <c r="AD70" i="5"/>
  <c r="AD58" i="5"/>
  <c r="AD60" i="5" s="1"/>
  <c r="AD162" i="5" s="1"/>
  <c r="O31" i="5"/>
  <c r="N46" i="5"/>
  <c r="L76" i="5"/>
  <c r="AE149" i="5" l="1"/>
  <c r="AE151" i="5" s="1"/>
  <c r="B153" i="5" s="1"/>
  <c r="B47" i="5"/>
  <c r="D103" i="5" s="1"/>
  <c r="AC177" i="5"/>
  <c r="AE176" i="5"/>
  <c r="P46" i="20"/>
  <c r="P61" i="20" s="1"/>
  <c r="P76" i="20" s="1"/>
  <c r="Q31" i="20"/>
  <c r="O31" i="18"/>
  <c r="N46" i="18"/>
  <c r="N61" i="18" s="1"/>
  <c r="N76" i="18" s="1"/>
  <c r="M61" i="18"/>
  <c r="B123" i="5"/>
  <c r="B104" i="5"/>
  <c r="B105" i="5" s="1"/>
  <c r="C28" i="16" s="1"/>
  <c r="D104" i="5"/>
  <c r="C104" i="5"/>
  <c r="F104" i="5"/>
  <c r="E104" i="5"/>
  <c r="O31" i="17"/>
  <c r="N46" i="17"/>
  <c r="N61" i="17" s="1"/>
  <c r="N76" i="17" s="1"/>
  <c r="AE24" i="5"/>
  <c r="AE28" i="5" s="1"/>
  <c r="AE30" i="5" s="1"/>
  <c r="AD69" i="5"/>
  <c r="AD73" i="5" s="1"/>
  <c r="AD75" i="5" s="1"/>
  <c r="AD175" i="5" s="1"/>
  <c r="AD177" i="5" s="1"/>
  <c r="N61" i="5"/>
  <c r="AD164" i="5"/>
  <c r="B133" i="5"/>
  <c r="AE113" i="5"/>
  <c r="AE70" i="5"/>
  <c r="AE58" i="5"/>
  <c r="AE60" i="5" s="1"/>
  <c r="P31" i="5"/>
  <c r="O46" i="5"/>
  <c r="O61" i="5" s="1"/>
  <c r="AE162" i="5" l="1"/>
  <c r="B62" i="5"/>
  <c r="E103" i="5" s="1"/>
  <c r="E105" i="5" s="1"/>
  <c r="F28" i="16" s="1"/>
  <c r="D105" i="5"/>
  <c r="E28" i="16" s="1"/>
  <c r="Q46" i="20"/>
  <c r="Q61" i="20" s="1"/>
  <c r="Q76" i="20" s="1"/>
  <c r="R31" i="20"/>
  <c r="AE131" i="5"/>
  <c r="AE133" i="5" s="1"/>
  <c r="B140" i="5" s="1"/>
  <c r="B32" i="5"/>
  <c r="C103" i="5" s="1"/>
  <c r="C105" i="5" s="1"/>
  <c r="D28" i="16" s="1"/>
  <c r="M76" i="18"/>
  <c r="O46" i="18"/>
  <c r="P31" i="18"/>
  <c r="P31" i="17"/>
  <c r="O46" i="17"/>
  <c r="AE69" i="5"/>
  <c r="AE73" i="5" s="1"/>
  <c r="AE75" i="5" s="1"/>
  <c r="N76" i="5"/>
  <c r="AE164" i="5"/>
  <c r="B166" i="5" s="1"/>
  <c r="B19" i="5"/>
  <c r="C9" i="16" s="1"/>
  <c r="O76" i="5"/>
  <c r="Q31" i="5"/>
  <c r="P46" i="5"/>
  <c r="AE175" i="5" l="1"/>
  <c r="B77" i="5"/>
  <c r="F103" i="5" s="1"/>
  <c r="F105" i="5" s="1"/>
  <c r="G28" i="16" s="1"/>
  <c r="H28" i="16" s="1"/>
  <c r="O61" i="17"/>
  <c r="R46" i="20"/>
  <c r="R61" i="20" s="1"/>
  <c r="R76" i="20" s="1"/>
  <c r="S31" i="20"/>
  <c r="Q31" i="18"/>
  <c r="P46" i="18"/>
  <c r="P61" i="18" s="1"/>
  <c r="P76" i="18" s="1"/>
  <c r="O61" i="18"/>
  <c r="Q31" i="17"/>
  <c r="P46" i="17"/>
  <c r="P61" i="17" s="1"/>
  <c r="P76" i="17" s="1"/>
  <c r="AE177" i="5"/>
  <c r="B179" i="5" s="1"/>
  <c r="AE115" i="5"/>
  <c r="AE138" i="5"/>
  <c r="B141" i="5" s="1"/>
  <c r="P61" i="5"/>
  <c r="R31" i="5"/>
  <c r="Q46" i="5"/>
  <c r="Q61" i="5" s="1"/>
  <c r="Q76" i="5" s="1"/>
  <c r="I28" i="16" l="1"/>
  <c r="O76" i="18"/>
  <c r="T31" i="20"/>
  <c r="S46" i="20"/>
  <c r="S61" i="20" s="1"/>
  <c r="S76" i="20" s="1"/>
  <c r="O76" i="17"/>
  <c r="R31" i="18"/>
  <c r="Q46" i="18"/>
  <c r="Q61" i="18" s="1"/>
  <c r="Q76" i="18" s="1"/>
  <c r="R31" i="17"/>
  <c r="Q46" i="17"/>
  <c r="Q61" i="17" s="1"/>
  <c r="Q76" i="17" s="1"/>
  <c r="B122" i="5"/>
  <c r="B124" i="5" s="1"/>
  <c r="C20" i="16" s="1"/>
  <c r="B142" i="5"/>
  <c r="D20" i="16" s="1"/>
  <c r="B154" i="5"/>
  <c r="S31" i="5"/>
  <c r="R46" i="5"/>
  <c r="R61" i="5" s="1"/>
  <c r="R76" i="5" s="1"/>
  <c r="P76" i="5"/>
  <c r="U31" i="20" l="1"/>
  <c r="T46" i="20"/>
  <c r="T61" i="20" s="1"/>
  <c r="T76" i="20" s="1"/>
  <c r="R46" i="18"/>
  <c r="R61" i="18" s="1"/>
  <c r="R76" i="18" s="1"/>
  <c r="S31" i="18"/>
  <c r="R46" i="17"/>
  <c r="R61" i="17" s="1"/>
  <c r="R76" i="17" s="1"/>
  <c r="S31" i="17"/>
  <c r="B167" i="5"/>
  <c r="B155" i="5"/>
  <c r="E20" i="16" s="1"/>
  <c r="T31" i="5"/>
  <c r="S46" i="5"/>
  <c r="S61" i="5" s="1"/>
  <c r="U46" i="20" l="1"/>
  <c r="U61" i="20" s="1"/>
  <c r="U76" i="20" s="1"/>
  <c r="V31" i="20"/>
  <c r="S46" i="18"/>
  <c r="S61" i="18" s="1"/>
  <c r="S76" i="18" s="1"/>
  <c r="T31" i="18"/>
  <c r="S46" i="17"/>
  <c r="S61" i="17" s="1"/>
  <c r="S76" i="17" s="1"/>
  <c r="T31" i="17"/>
  <c r="B180" i="5"/>
  <c r="B181" i="5" s="1"/>
  <c r="G20" i="16" s="1"/>
  <c r="B168" i="5"/>
  <c r="F20" i="16" s="1"/>
  <c r="S76" i="5"/>
  <c r="U31" i="5"/>
  <c r="T46" i="5"/>
  <c r="T61" i="5" s="1"/>
  <c r="T76" i="5" s="1"/>
  <c r="W31" i="20" l="1"/>
  <c r="V46" i="20"/>
  <c r="V61" i="20" s="1"/>
  <c r="V76" i="20" s="1"/>
  <c r="U31" i="18"/>
  <c r="T46" i="18"/>
  <c r="T61" i="18" s="1"/>
  <c r="T76" i="18" s="1"/>
  <c r="U31" i="17"/>
  <c r="T46" i="17"/>
  <c r="T61" i="17" s="1"/>
  <c r="T76" i="17" s="1"/>
  <c r="I20" i="16"/>
  <c r="H20" i="16"/>
  <c r="V31" i="5"/>
  <c r="U46" i="5"/>
  <c r="U61" i="5" s="1"/>
  <c r="U76" i="5" s="1"/>
  <c r="W46" i="20" l="1"/>
  <c r="W61" i="20" s="1"/>
  <c r="W76" i="20" s="1"/>
  <c r="X31" i="20"/>
  <c r="U46" i="18"/>
  <c r="U61" i="18" s="1"/>
  <c r="U76" i="18" s="1"/>
  <c r="V31" i="18"/>
  <c r="U46" i="17"/>
  <c r="U61" i="17" s="1"/>
  <c r="U76" i="17" s="1"/>
  <c r="V31" i="17"/>
  <c r="W31" i="5"/>
  <c r="V46" i="5"/>
  <c r="V61" i="5" s="1"/>
  <c r="V76" i="5" s="1"/>
  <c r="X46" i="20" l="1"/>
  <c r="X61" i="20" s="1"/>
  <c r="X76" i="20" s="1"/>
  <c r="Y31" i="20"/>
  <c r="W31" i="18"/>
  <c r="V46" i="18"/>
  <c r="V61" i="18" s="1"/>
  <c r="V76" i="18" s="1"/>
  <c r="W31" i="17"/>
  <c r="V46" i="17"/>
  <c r="V61" i="17" s="1"/>
  <c r="V76" i="17" s="1"/>
  <c r="X31" i="5"/>
  <c r="W46" i="5"/>
  <c r="W61" i="5" s="1"/>
  <c r="W76" i="5" s="1"/>
  <c r="Y46" i="20" l="1"/>
  <c r="Y61" i="20" s="1"/>
  <c r="Y76" i="20" s="1"/>
  <c r="Z31" i="20"/>
  <c r="W46" i="18"/>
  <c r="W61" i="18" s="1"/>
  <c r="W76" i="18" s="1"/>
  <c r="X31" i="18"/>
  <c r="X31" i="17"/>
  <c r="W46" i="17"/>
  <c r="W61" i="17" s="1"/>
  <c r="W76" i="17" s="1"/>
  <c r="Y31" i="5"/>
  <c r="Y46" i="5" s="1"/>
  <c r="Y61" i="5" s="1"/>
  <c r="Y76" i="5" s="1"/>
  <c r="X46" i="5"/>
  <c r="AA31" i="20" l="1"/>
  <c r="Z46" i="20"/>
  <c r="Z61" i="20" s="1"/>
  <c r="Z76" i="20" s="1"/>
  <c r="X46" i="18"/>
  <c r="Y31" i="18"/>
  <c r="X46" i="17"/>
  <c r="Y31" i="17"/>
  <c r="Z31" i="5"/>
  <c r="Z46" i="5" s="1"/>
  <c r="Z61" i="5" s="1"/>
  <c r="Z76" i="5" s="1"/>
  <c r="X61" i="5"/>
  <c r="AA46" i="20" l="1"/>
  <c r="AA61" i="20" s="1"/>
  <c r="AA76" i="20" s="1"/>
  <c r="AB31" i="20"/>
  <c r="Z31" i="18"/>
  <c r="Y46" i="18"/>
  <c r="Y61" i="18" s="1"/>
  <c r="Y76" i="18" s="1"/>
  <c r="X61" i="18"/>
  <c r="AA31" i="5"/>
  <c r="AB31" i="5" s="1"/>
  <c r="Z31" i="17"/>
  <c r="Y46" i="17"/>
  <c r="Y61" i="17" s="1"/>
  <c r="Y76" i="17" s="1"/>
  <c r="X61" i="17"/>
  <c r="X76" i="5"/>
  <c r="AC31" i="20" l="1"/>
  <c r="AB46" i="20"/>
  <c r="AB61" i="20" s="1"/>
  <c r="AB76" i="20" s="1"/>
  <c r="AA46" i="5"/>
  <c r="AA61" i="5" s="1"/>
  <c r="AA76" i="5" s="1"/>
  <c r="X76" i="18"/>
  <c r="Z46" i="18"/>
  <c r="Z61" i="18" s="1"/>
  <c r="Z76" i="18" s="1"/>
  <c r="AA31" i="18"/>
  <c r="X76" i="17"/>
  <c r="AA31" i="17"/>
  <c r="Z46" i="17"/>
  <c r="Z61" i="17" s="1"/>
  <c r="Z76" i="17" s="1"/>
  <c r="AB46" i="5"/>
  <c r="AB61" i="5" s="1"/>
  <c r="AB76" i="5" s="1"/>
  <c r="AC31" i="5"/>
  <c r="AC46" i="20" l="1"/>
  <c r="AC61" i="20" s="1"/>
  <c r="AC76" i="20" s="1"/>
  <c r="AD31" i="20"/>
  <c r="AA46" i="18"/>
  <c r="AA61" i="18" s="1"/>
  <c r="AA76" i="18" s="1"/>
  <c r="AB31" i="18"/>
  <c r="AA46" i="17"/>
  <c r="AA61" i="17" s="1"/>
  <c r="AA76" i="17" s="1"/>
  <c r="AB31" i="17"/>
  <c r="AC46" i="5"/>
  <c r="AC61" i="5" s="1"/>
  <c r="AC76" i="5" s="1"/>
  <c r="AD31" i="5"/>
  <c r="AE31" i="20" l="1"/>
  <c r="AD46" i="20"/>
  <c r="AD61" i="20" s="1"/>
  <c r="AD76" i="20" s="1"/>
  <c r="AC31" i="18"/>
  <c r="AB46" i="18"/>
  <c r="AB61" i="18" s="1"/>
  <c r="AB76" i="18" s="1"/>
  <c r="AB46" i="17"/>
  <c r="AB61" i="17" s="1"/>
  <c r="AB76" i="17" s="1"/>
  <c r="AC31" i="17"/>
  <c r="AD46" i="5"/>
  <c r="AD61" i="5" s="1"/>
  <c r="AD76" i="5" s="1"/>
  <c r="AE31" i="5"/>
  <c r="AE46" i="20" l="1"/>
  <c r="B33" i="20"/>
  <c r="B34" i="20" s="1"/>
  <c r="D12" i="16" s="1"/>
  <c r="AE46" i="5"/>
  <c r="B33" i="5"/>
  <c r="B34" i="5" s="1"/>
  <c r="D9" i="16" s="1"/>
  <c r="AC46" i="18"/>
  <c r="AC61" i="18" s="1"/>
  <c r="AC76" i="18" s="1"/>
  <c r="AD31" i="18"/>
  <c r="AC46" i="17"/>
  <c r="AC61" i="17" s="1"/>
  <c r="AC76" i="17" s="1"/>
  <c r="AD31" i="17"/>
  <c r="AE61" i="20" l="1"/>
  <c r="B48" i="20"/>
  <c r="B49" i="20" s="1"/>
  <c r="E12" i="16" s="1"/>
  <c r="AE61" i="5"/>
  <c r="B48" i="5"/>
  <c r="B49" i="5" s="1"/>
  <c r="E9" i="16" s="1"/>
  <c r="AE31" i="18"/>
  <c r="AD46" i="18"/>
  <c r="AD61" i="18" s="1"/>
  <c r="AD76" i="18" s="1"/>
  <c r="AD46" i="17"/>
  <c r="AD61" i="17" s="1"/>
  <c r="AD76" i="17" s="1"/>
  <c r="AE31" i="17"/>
  <c r="AE46" i="17" l="1"/>
  <c r="B33" i="17"/>
  <c r="B34" i="17" s="1"/>
  <c r="D10" i="16" s="1"/>
  <c r="AE46" i="18"/>
  <c r="B33" i="18"/>
  <c r="B34" i="18" s="1"/>
  <c r="D11" i="16" s="1"/>
  <c r="AE76" i="5"/>
  <c r="B78" i="5" s="1"/>
  <c r="B79" i="5" s="1"/>
  <c r="G9" i="16" s="1"/>
  <c r="I9" i="16" s="1"/>
  <c r="B63" i="5"/>
  <c r="B64" i="5" s="1"/>
  <c r="F9" i="16" s="1"/>
  <c r="AE76" i="20"/>
  <c r="B78" i="20" s="1"/>
  <c r="B79" i="20" s="1"/>
  <c r="G12" i="16" s="1"/>
  <c r="B63" i="20"/>
  <c r="B64" i="20" s="1"/>
  <c r="F12" i="16" s="1"/>
  <c r="I12" i="16" l="1"/>
  <c r="H9" i="16"/>
  <c r="H12" i="16"/>
  <c r="AE61" i="18"/>
  <c r="B48" i="18"/>
  <c r="B49" i="18" s="1"/>
  <c r="E11" i="16" s="1"/>
  <c r="AE61" i="17"/>
  <c r="B48" i="17"/>
  <c r="B49" i="17" s="1"/>
  <c r="E10" i="16" s="1"/>
  <c r="AE76" i="17" l="1"/>
  <c r="B78" i="17" s="1"/>
  <c r="B79" i="17" s="1"/>
  <c r="G10" i="16" s="1"/>
  <c r="I10" i="16" s="1"/>
  <c r="B63" i="17"/>
  <c r="B64" i="17" s="1"/>
  <c r="F10" i="16" s="1"/>
  <c r="AE76" i="18"/>
  <c r="B78" i="18" s="1"/>
  <c r="B79" i="18" s="1"/>
  <c r="G11" i="16" s="1"/>
  <c r="B63" i="18"/>
  <c r="B64" i="18" s="1"/>
  <c r="F11" i="16" s="1"/>
  <c r="I11" i="16" l="1"/>
  <c r="H10" i="16"/>
  <c r="H11" i="16"/>
</calcChain>
</file>

<file path=xl/sharedStrings.xml><?xml version="1.0" encoding="utf-8"?>
<sst xmlns="http://schemas.openxmlformats.org/spreadsheetml/2006/main" count="1082" uniqueCount="186">
  <si>
    <t xml:space="preserve">Source:  GHD </t>
  </si>
  <si>
    <t>Scenario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</si>
  <si>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</si>
  <si>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</si>
  <si>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</si>
  <si>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</si>
  <si>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</si>
  <si>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</si>
  <si>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</si>
  <si>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</si>
  <si>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</si>
  <si>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</si>
  <si>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</si>
  <si>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</si>
  <si>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</si>
  <si>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</si>
  <si>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</si>
  <si>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</si>
  <si>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</si>
  <si>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</si>
  <si>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</si>
  <si>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</si>
  <si>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</si>
  <si>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</si>
  <si>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</si>
  <si>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</si>
  <si>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</si>
  <si>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</si>
  <si>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</si>
  <si>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</si>
  <si>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</si>
  <si>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</si>
  <si>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Marinus Link Options</t>
  </si>
  <si>
    <t>Option 1 - Net Market Benefit evaluation</t>
  </si>
  <si>
    <t>t=</t>
  </si>
  <si>
    <t>Discount factor</t>
  </si>
  <si>
    <t>2019-20</t>
  </si>
  <si>
    <t>Discount rate=</t>
  </si>
  <si>
    <t>Year ending</t>
  </si>
  <si>
    <t>Period</t>
  </si>
  <si>
    <t>FCAS benefits</t>
  </si>
  <si>
    <t>Total benefits</t>
  </si>
  <si>
    <t>Market benefits (undiscounted)</t>
  </si>
  <si>
    <t>FCAS benefits ($)</t>
  </si>
  <si>
    <t>FCAS benefits ($ M)</t>
  </si>
  <si>
    <t>The table below shows total FCAS annual benefits for the NEM, assuming the first increment of Marinus Link capacity is installed on 1 July 2026.</t>
  </si>
  <si>
    <t>Stage 1</t>
  </si>
  <si>
    <t>Yellow cells indicate inputs</t>
  </si>
  <si>
    <t>Discount rate</t>
  </si>
  <si>
    <t>real pre-tax</t>
  </si>
  <si>
    <t>750 MW stage 1</t>
  </si>
  <si>
    <t>750 MW stage 2</t>
  </si>
  <si>
    <t>DC assets</t>
  </si>
  <si>
    <t>P50 cost (inc CFCs)</t>
  </si>
  <si>
    <t xml:space="preserve">million </t>
  </si>
  <si>
    <t>Life</t>
  </si>
  <si>
    <t>years</t>
  </si>
  <si>
    <t>Capital annuity</t>
  </si>
  <si>
    <t>Annual opex</t>
  </si>
  <si>
    <t>Total annual cost</t>
  </si>
  <si>
    <t>AC assets</t>
  </si>
  <si>
    <t>Total annual cost for AC and DC assets</t>
  </si>
  <si>
    <t>million</t>
  </si>
  <si>
    <t>600 MW stage 1</t>
  </si>
  <si>
    <t>600 MW stage 2</t>
  </si>
  <si>
    <t>Stage 1+2</t>
  </si>
  <si>
    <t>Capacity (MW)</t>
  </si>
  <si>
    <t>Total annualised costs</t>
  </si>
  <si>
    <t>PV total benefits</t>
  </si>
  <si>
    <t>PV total costs</t>
  </si>
  <si>
    <t>Year commencing</t>
  </si>
  <si>
    <t>Results</t>
  </si>
  <si>
    <t xml:space="preserve">Scenario: </t>
  </si>
  <si>
    <t xml:space="preserve">The options are defined in the table below.  </t>
  </si>
  <si>
    <t>Guide to worksheets</t>
  </si>
  <si>
    <t>the discount rate used in EY's market modelling.</t>
  </si>
  <si>
    <t xml:space="preserve">Summary of results </t>
  </si>
  <si>
    <t xml:space="preserve">It should not be changed unless a corresponding change is made to </t>
  </si>
  <si>
    <t xml:space="preserve">with the discount rate used by EY in their market modelling. </t>
  </si>
  <si>
    <t xml:space="preserve">Information presented </t>
  </si>
  <si>
    <t>Link to worksheet</t>
  </si>
  <si>
    <t>Key inputs to the model:</t>
  </si>
  <si>
    <t>The results of the evaluation, including the relevant tables that appear in the PADR</t>
  </si>
  <si>
    <t>Project costs</t>
  </si>
  <si>
    <t>Option 1</t>
  </si>
  <si>
    <t>Option 2</t>
  </si>
  <si>
    <t>Option 3</t>
  </si>
  <si>
    <t>Option 4</t>
  </si>
  <si>
    <t>each option under each of the four scenarios</t>
  </si>
  <si>
    <r>
      <t xml:space="preserve">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 EY's estimates of market benefits</t>
    </r>
  </si>
  <si>
    <r>
      <t xml:space="preserve">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>GHD's estimates of FCAS benefits</t>
    </r>
  </si>
  <si>
    <r>
      <t xml:space="preserve"> </t>
    </r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</rPr>
      <t xml:space="preserve"> Marinus Link </t>
    </r>
    <r>
      <rPr>
        <sz val="11"/>
        <color theme="1"/>
        <rFont val="Calibri"/>
        <family val="2"/>
        <scheme val="minor"/>
      </rPr>
      <t>forecast capital and operating costs,
      and calculations of total annualised costs</t>
    </r>
  </si>
  <si>
    <t xml:space="preserve">Slow Change </t>
  </si>
  <si>
    <t>Central</t>
  </si>
  <si>
    <t>High DER</t>
  </si>
  <si>
    <t xml:space="preserve">Fast Change </t>
  </si>
  <si>
    <t>Step Change</t>
  </si>
  <si>
    <t>Discount rate (real, pre-tax), all scenarios except slow</t>
  </si>
  <si>
    <t>Scenarios</t>
  </si>
  <si>
    <t>Average</t>
  </si>
  <si>
    <t>All scenarios</t>
  </si>
  <si>
    <t>Discount rate (all scenarios, except slow)</t>
  </si>
  <si>
    <t>Discount rate (slow scenario)</t>
  </si>
  <si>
    <t xml:space="preserve">Note - The discount rate used in this workbook is aligned </t>
  </si>
  <si>
    <t>Discount rate (real, pre-tax), Slow Change scenario</t>
  </si>
  <si>
    <t>(all scenarios, except slow)</t>
  </si>
  <si>
    <t>(Slow Change scenario)</t>
  </si>
  <si>
    <t>Option 2:  750 MW in 2027</t>
  </si>
  <si>
    <t xml:space="preserve">Option 1:  600 MW in 2027 </t>
  </si>
  <si>
    <t>Option 3:  600 MW in 2027 and 600 MW in 2029</t>
  </si>
  <si>
    <t>Option 4:  750 MW in 2027 and 750 MW in 2029</t>
  </si>
  <si>
    <t>Market benefits (PV at 2020)</t>
  </si>
  <si>
    <t xml:space="preserve">All values shown are $ millions expressed in 2020 terms </t>
  </si>
  <si>
    <t>DC Capex, stage 1 (40 yrs)</t>
  </si>
  <si>
    <t>AC Capex, stage 1 (60 yrs)</t>
  </si>
  <si>
    <t>Total Costs excluding TVs</t>
  </si>
  <si>
    <t>Terminal Value Costs</t>
  </si>
  <si>
    <t>PV costs</t>
  </si>
  <si>
    <t>PV benefits</t>
  </si>
  <si>
    <t>Net economic benefits</t>
  </si>
  <si>
    <t>Total expected project cost estimate</t>
  </si>
  <si>
    <t xml:space="preserve">750 MW </t>
  </si>
  <si>
    <t>Indicative annualised cost of Project Marinus - 1500MW</t>
  </si>
  <si>
    <t>Indicative annualised cost of Project Marinus - 1200MW</t>
  </si>
  <si>
    <t>Indicative annualised cost of Project Marinus (1500 MW, Slow Change)</t>
  </si>
  <si>
    <t>Indicative annualised cost of Project Marinus (1200 MW, Slow Change)</t>
  </si>
  <si>
    <t>Indicative annualised cost of Project Marinus - 750MW</t>
  </si>
  <si>
    <t>Indicative annualised cost of Project Marinus (750 MW, Slow Change)</t>
  </si>
  <si>
    <t>Indicative annualised cost of Project Marinus - 600MW</t>
  </si>
  <si>
    <t>Indicative annualised cost of Project Marinus (600 MW, Slow Change)</t>
  </si>
  <si>
    <t>Not Slow</t>
  </si>
  <si>
    <t>Slow</t>
  </si>
  <si>
    <t>Appendix 3 - Net Market Benefit evaluation (Terminal Value method)</t>
  </si>
  <si>
    <t xml:space="preserve">600 MW </t>
  </si>
  <si>
    <t>750 MW</t>
  </si>
  <si>
    <t>600 MW</t>
  </si>
  <si>
    <t>Modelled Benefits until 2050</t>
  </si>
  <si>
    <t>Terminal Value</t>
  </si>
  <si>
    <t>Total Benefit</t>
  </si>
  <si>
    <t>Residual costs</t>
  </si>
  <si>
    <t>DC Opex, stage 1 (40 years)</t>
  </si>
  <si>
    <t>AC Opex, stage 1 (60 years)</t>
  </si>
  <si>
    <t>DC Opex, Stage 1</t>
  </si>
  <si>
    <t>AC Opex, Stage 1</t>
  </si>
  <si>
    <t>Total residual costs</t>
  </si>
  <si>
    <t>ISP Weighting</t>
  </si>
  <si>
    <t>Appendix 3 - Terminal Value calculations</t>
  </si>
  <si>
    <t>Benefits approach (summary of results)</t>
  </si>
  <si>
    <t>Cost approach (summary of results)</t>
  </si>
  <si>
    <t>Project cost data and calculation of annualised costs ($2020)</t>
  </si>
  <si>
    <t>Slow Change</t>
  </si>
  <si>
    <t>All scenarios, except Slow Change</t>
  </si>
  <si>
    <t>Benefits approach (Terminal Value)</t>
  </si>
  <si>
    <t>Costs approach (Terminal Value)</t>
  </si>
  <si>
    <t>PV costs (inc terminal value)</t>
  </si>
  <si>
    <t>HVDC (capex)</t>
  </si>
  <si>
    <t>AC (capex)</t>
  </si>
  <si>
    <t>HVDC (opex)</t>
  </si>
  <si>
    <t>AC (opex)</t>
  </si>
  <si>
    <t>Stage 2</t>
  </si>
  <si>
    <t>Slow Change scenario</t>
  </si>
  <si>
    <t>PV costs (inc Terminal Value)</t>
  </si>
  <si>
    <t xml:space="preserve">Amounts shown are expressed in 2020 dollars. </t>
  </si>
  <si>
    <t>Note: GHD analysis was done in 2019 dollars, but conservatively it is assumed that benefits remain unchanged in 2020 dollars.</t>
  </si>
  <si>
    <t xml:space="preserve">Marinus link economic evaluation - PACR </t>
  </si>
  <si>
    <t>Option 2 - Net Market Benefit evaluation</t>
  </si>
  <si>
    <t>FCAS benefits ($2020)</t>
  </si>
  <si>
    <t>PACR Modelling Results (NPV)</t>
  </si>
  <si>
    <t>Option 3 - Net Market Benefit evaluation</t>
  </si>
  <si>
    <t>Option 4 - Net Market Benefit evaluation</t>
  </si>
  <si>
    <t>DC Capex, stage 2 (40 yrs)</t>
  </si>
  <si>
    <t>AC Capex, stage 2 (60 yrs)</t>
  </si>
  <si>
    <t>DC Opex, Stage 2</t>
  </si>
  <si>
    <t>AC Opex, Stage 2</t>
  </si>
  <si>
    <t>Total opex</t>
  </si>
  <si>
    <t xml:space="preserve">HVDC </t>
  </si>
  <si>
    <t>AC</t>
  </si>
  <si>
    <t>https://www.abs.gov.au/statistics/economy/price-indexes-and-inflation/consumer-price-index-australia/mar-2021/640101.xls</t>
  </si>
  <si>
    <t>Summary of total annualised costs (undiscounted, $M)</t>
  </si>
  <si>
    <t>Summary of total project costs ($ Millions)</t>
  </si>
  <si>
    <t xml:space="preserve">Calculation of the net economic benefit for </t>
  </si>
  <si>
    <t>This workbook evaluates the net economic benefit of Marinus Link project options under 5 different scenarios.</t>
  </si>
  <si>
    <t>DC Opex, stage 1 and 2 (40 years)</t>
  </si>
  <si>
    <t>AC Opex, stage 1 and 2 (60 years)</t>
  </si>
  <si>
    <t>All values shown are present value net economic benefit at 2020, expressed in 2020 millions of dollars</t>
  </si>
  <si>
    <t>Sourced from EY spreadsheets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</si>
</sst>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"/>
    <numFmt numFmtId="166" formatCode="[$-C09]dd\-mmm\-yy;@"/>
    <numFmt numFmtId="167" formatCode="0.0"/>
    <numFmt numFmtId="168" formatCode="[$$-C09]#,##0"/>
    <numFmt numFmtId="169" formatCode="[$$-C09]#,##0.0;[Red]\-[$$-C09]#,##0.0"/>
    <numFmt numFmtId="170" formatCode="[$$-C09]#,##0.0"/>
    <numFmt numFmtId="171" formatCode="_-* #,##0.0_-;\-* #,##0.0_-;_-* &quot;-&quot;??_-;_-@_-"/>
    <numFmt numFmtId="172" formatCode="#,##0.0_ ;\-#,##0.0\ "/>
    <numFmt numFmtId="173" formatCode="0.000000"/>
    <numFmt numFmtId="174" formatCode="0.00000"/>
    <numFmt numFmtId="175" formatCode="#,##0_ ;\-#,##0\ "/>
    <numFmt numFmtId="176" formatCode="_-* #,##0_-;\-* #,##0_-;_-* &quot;-&quot;??_-;_-@_-"/>
    <numFmt numFmtId="177" formatCode="#,##0.000000000000_ ;\-#,##0.0000000000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2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FEE3DE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4" borderId="13" xfId="0" applyFont="1" applyFill="1" applyBorder="1"/>
    <xf numFmtId="165" fontId="0" fillId="0" borderId="0" xfId="0" applyNumberFormat="1"/>
    <xf numFmtId="0" fontId="7" fillId="0" borderId="0" xfId="0" applyFont="1"/>
    <xf numFmtId="166" fontId="7" fillId="0" borderId="0" xfId="0" applyNumberFormat="1" applyFont="1"/>
    <xf numFmtId="0" fontId="0" fillId="0" borderId="0" xfId="0" applyFill="1"/>
    <xf numFmtId="0" fontId="2" fillId="0" borderId="0" xfId="0" applyFont="1" applyFill="1"/>
    <xf numFmtId="0" fontId="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0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5" fontId="7" fillId="0" borderId="0" xfId="0" applyNumberFormat="1" applyFont="1" applyBorder="1" applyAlignment="1">
      <alignment horizontal="right"/>
    </xf>
    <xf numFmtId="166" fontId="7" fillId="0" borderId="0" xfId="0" applyNumberFormat="1" applyFont="1" applyBorder="1"/>
    <xf numFmtId="166" fontId="7" fillId="0" borderId="18" xfId="0" applyNumberFormat="1" applyFont="1" applyBorder="1"/>
    <xf numFmtId="0" fontId="2" fillId="6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8" fillId="0" borderId="19" xfId="0" applyFont="1" applyBorder="1" applyAlignment="1">
      <alignment horizontal="right"/>
    </xf>
    <xf numFmtId="0" fontId="2" fillId="6" borderId="0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7" fontId="2" fillId="0" borderId="18" xfId="0" applyNumberFormat="1" applyFont="1" applyBorder="1" applyAlignment="1">
      <alignment horizontal="right"/>
    </xf>
    <xf numFmtId="0" fontId="0" fillId="0" borderId="14" xfId="0" applyBorder="1"/>
    <xf numFmtId="0" fontId="0" fillId="0" borderId="20" xfId="0" applyBorder="1"/>
    <xf numFmtId="169" fontId="0" fillId="0" borderId="22" xfId="0" applyNumberFormat="1" applyBorder="1"/>
    <xf numFmtId="168" fontId="2" fillId="2" borderId="0" xfId="0" applyNumberFormat="1" applyFont="1" applyFill="1" applyBorder="1"/>
    <xf numFmtId="0" fontId="2" fillId="2" borderId="0" xfId="0" applyFont="1" applyFill="1" applyBorder="1"/>
    <xf numFmtId="169" fontId="0" fillId="0" borderId="0" xfId="0" applyNumberFormat="1" applyBorder="1"/>
    <xf numFmtId="170" fontId="2" fillId="2" borderId="0" xfId="0" applyNumberFormat="1" applyFont="1" applyFill="1" applyBorder="1"/>
    <xf numFmtId="0" fontId="4" fillId="3" borderId="0" xfId="0" applyFont="1" applyFill="1"/>
    <xf numFmtId="0" fontId="0" fillId="3" borderId="0" xfId="0" applyFill="1"/>
    <xf numFmtId="171" fontId="0" fillId="0" borderId="0" xfId="2" applyNumberFormat="1" applyFont="1"/>
    <xf numFmtId="0" fontId="0" fillId="6" borderId="14" xfId="0" applyFill="1" applyBorder="1" applyAlignment="1">
      <alignment vertical="center"/>
    </xf>
    <xf numFmtId="0" fontId="6" fillId="6" borderId="14" xfId="0" applyFont="1" applyFill="1" applyBorder="1" applyAlignment="1">
      <alignment horizontal="right" vertical="center"/>
    </xf>
    <xf numFmtId="0" fontId="2" fillId="7" borderId="0" xfId="0" applyFont="1" applyFill="1"/>
    <xf numFmtId="167" fontId="2" fillId="7" borderId="0" xfId="0" applyNumberFormat="1" applyFont="1" applyFill="1"/>
    <xf numFmtId="0" fontId="0" fillId="8" borderId="0" xfId="0" applyFill="1"/>
    <xf numFmtId="167" fontId="0" fillId="8" borderId="0" xfId="0" applyNumberFormat="1" applyFill="1"/>
    <xf numFmtId="0" fontId="0" fillId="8" borderId="14" xfId="0" applyFill="1" applyBorder="1"/>
    <xf numFmtId="167" fontId="0" fillId="8" borderId="14" xfId="0" applyNumberFormat="1" applyFill="1" applyBorder="1"/>
    <xf numFmtId="0" fontId="9" fillId="0" borderId="14" xfId="0" applyFont="1" applyBorder="1"/>
    <xf numFmtId="0" fontId="2" fillId="9" borderId="14" xfId="0" applyFont="1" applyFill="1" applyBorder="1"/>
    <xf numFmtId="167" fontId="2" fillId="9" borderId="14" xfId="0" applyNumberFormat="1" applyFont="1" applyFill="1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18" xfId="0" applyBorder="1"/>
    <xf numFmtId="0" fontId="0" fillId="0" borderId="24" xfId="0" applyBorder="1"/>
    <xf numFmtId="0" fontId="0" fillId="0" borderId="25" xfId="0" applyBorder="1"/>
    <xf numFmtId="0" fontId="2" fillId="0" borderId="26" xfId="0" applyFont="1" applyBorder="1"/>
    <xf numFmtId="0" fontId="0" fillId="0" borderId="27" xfId="0" applyBorder="1"/>
    <xf numFmtId="0" fontId="2" fillId="7" borderId="28" xfId="0" applyFont="1" applyFill="1" applyBorder="1" applyAlignment="1">
      <alignment vertical="top" wrapText="1"/>
    </xf>
    <xf numFmtId="169" fontId="2" fillId="7" borderId="29" xfId="0" applyNumberFormat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0" fillId="6" borderId="15" xfId="0" applyFill="1" applyBorder="1"/>
    <xf numFmtId="171" fontId="2" fillId="0" borderId="22" xfId="2" applyNumberFormat="1" applyFont="1" applyFill="1" applyBorder="1"/>
    <xf numFmtId="0" fontId="10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11" fillId="10" borderId="10" xfId="0" applyFont="1" applyFill="1" applyBorder="1"/>
    <xf numFmtId="0" fontId="12" fillId="10" borderId="10" xfId="0" applyFont="1" applyFill="1" applyBorder="1"/>
    <xf numFmtId="0" fontId="11" fillId="10" borderId="0" xfId="0" applyFont="1" applyFill="1" applyBorder="1" applyAlignment="1">
      <alignment horizontal="right"/>
    </xf>
    <xf numFmtId="0" fontId="11" fillId="10" borderId="0" xfId="0" applyFont="1" applyFill="1" applyBorder="1"/>
    <xf numFmtId="0" fontId="12" fillId="10" borderId="0" xfId="0" applyFont="1" applyFill="1" applyBorder="1"/>
    <xf numFmtId="0" fontId="0" fillId="0" borderId="36" xfId="0" applyFont="1" applyBorder="1" applyAlignment="1">
      <alignment vertical="center"/>
    </xf>
    <xf numFmtId="167" fontId="9" fillId="0" borderId="14" xfId="0" applyNumberFormat="1" applyFont="1" applyFill="1" applyBorder="1"/>
    <xf numFmtId="0" fontId="2" fillId="11" borderId="0" xfId="0" applyFont="1" applyFill="1"/>
    <xf numFmtId="0" fontId="0" fillId="11" borderId="0" xfId="0" applyFill="1"/>
    <xf numFmtId="0" fontId="0" fillId="11" borderId="9" xfId="0" applyFill="1" applyBorder="1"/>
    <xf numFmtId="0" fontId="8" fillId="11" borderId="0" xfId="0" applyFont="1" applyFill="1" applyAlignment="1">
      <alignment horizontal="right"/>
    </xf>
    <xf numFmtId="0" fontId="8" fillId="11" borderId="0" xfId="0" applyFont="1" applyFill="1" applyAlignment="1">
      <alignment horizontal="left"/>
    </xf>
    <xf numFmtId="0" fontId="8" fillId="11" borderId="0" xfId="0" applyFont="1" applyFill="1" applyAlignment="1">
      <alignment horizontal="center"/>
    </xf>
    <xf numFmtId="0" fontId="9" fillId="11" borderId="0" xfId="0" applyFont="1" applyFill="1" applyAlignment="1">
      <alignment horizontal="left"/>
    </xf>
    <xf numFmtId="0" fontId="0" fillId="11" borderId="0" xfId="0" applyFont="1" applyFill="1" applyAlignment="1">
      <alignment horizontal="left"/>
    </xf>
    <xf numFmtId="0" fontId="0" fillId="11" borderId="0" xfId="0" applyFont="1" applyFill="1" applyAlignment="1">
      <alignment horizontal="right"/>
    </xf>
    <xf numFmtId="0" fontId="2" fillId="11" borderId="0" xfId="0" applyFont="1" applyFill="1" applyAlignment="1">
      <alignment horizontal="left"/>
    </xf>
    <xf numFmtId="0" fontId="4" fillId="11" borderId="0" xfId="0" applyFont="1" applyFill="1"/>
    <xf numFmtId="164" fontId="2" fillId="11" borderId="0" xfId="0" applyNumberFormat="1" applyFont="1" applyFill="1" applyAlignment="1"/>
    <xf numFmtId="0" fontId="0" fillId="11" borderId="0" xfId="0" applyFill="1" applyBorder="1"/>
    <xf numFmtId="0" fontId="0" fillId="11" borderId="0" xfId="0" applyFont="1" applyFill="1" applyBorder="1"/>
    <xf numFmtId="164" fontId="0" fillId="11" borderId="0" xfId="1" applyNumberFormat="1" applyFont="1" applyFill="1"/>
    <xf numFmtId="173" fontId="0" fillId="11" borderId="0" xfId="0" applyNumberFormat="1" applyFill="1"/>
    <xf numFmtId="174" fontId="0" fillId="11" borderId="0" xfId="0" applyNumberFormat="1" applyFill="1"/>
    <xf numFmtId="167" fontId="0" fillId="11" borderId="0" xfId="0" applyNumberFormat="1" applyFill="1"/>
    <xf numFmtId="2" fontId="0" fillId="11" borderId="0" xfId="0" applyNumberFormat="1" applyFill="1"/>
    <xf numFmtId="167" fontId="0" fillId="11" borderId="0" xfId="0" applyNumberFormat="1" applyFill="1" applyBorder="1"/>
    <xf numFmtId="0" fontId="0" fillId="5" borderId="11" xfId="0" applyFont="1" applyFill="1" applyBorder="1"/>
    <xf numFmtId="0" fontId="0" fillId="5" borderId="12" xfId="0" applyFont="1" applyFill="1" applyBorder="1"/>
    <xf numFmtId="164" fontId="2" fillId="5" borderId="41" xfId="0" applyNumberFormat="1" applyFont="1" applyFill="1" applyBorder="1" applyAlignment="1">
      <alignment horizontal="center"/>
    </xf>
    <xf numFmtId="0" fontId="2" fillId="0" borderId="9" xfId="0" applyFont="1" applyBorder="1"/>
    <xf numFmtId="0" fontId="0" fillId="6" borderId="8" xfId="0" applyFont="1" applyFill="1" applyBorder="1"/>
    <xf numFmtId="0" fontId="0" fillId="12" borderId="40" xfId="0" applyFill="1" applyBorder="1"/>
    <xf numFmtId="0" fontId="5" fillId="12" borderId="40" xfId="0" applyFont="1" applyFill="1" applyBorder="1"/>
    <xf numFmtId="0" fontId="4" fillId="12" borderId="40" xfId="0" applyFont="1" applyFill="1" applyBorder="1"/>
    <xf numFmtId="0" fontId="8" fillId="12" borderId="40" xfId="0" applyFont="1" applyFill="1" applyBorder="1" applyAlignment="1">
      <alignment horizontal="right"/>
    </xf>
    <xf numFmtId="0" fontId="5" fillId="12" borderId="40" xfId="0" applyFont="1" applyFill="1" applyBorder="1" applyAlignment="1">
      <alignment horizontal="left"/>
    </xf>
    <xf numFmtId="0" fontId="8" fillId="12" borderId="40" xfId="0" applyFont="1" applyFill="1" applyBorder="1" applyAlignment="1">
      <alignment horizontal="left"/>
    </xf>
    <xf numFmtId="0" fontId="8" fillId="12" borderId="40" xfId="0" applyFont="1" applyFill="1" applyBorder="1" applyAlignment="1">
      <alignment horizontal="center"/>
    </xf>
    <xf numFmtId="0" fontId="13" fillId="12" borderId="40" xfId="0" applyFont="1" applyFill="1" applyBorder="1"/>
    <xf numFmtId="0" fontId="10" fillId="11" borderId="0" xfId="0" applyFont="1" applyFill="1"/>
    <xf numFmtId="0" fontId="0" fillId="0" borderId="0" xfId="0" applyFill="1" applyBorder="1"/>
    <xf numFmtId="0" fontId="0" fillId="11" borderId="0" xfId="0" applyFont="1" applyFill="1"/>
    <xf numFmtId="0" fontId="0" fillId="11" borderId="9" xfId="0" applyFill="1" applyBorder="1" applyAlignment="1">
      <alignment horizontal="right"/>
    </xf>
    <xf numFmtId="0" fontId="9" fillId="11" borderId="0" xfId="0" applyFont="1" applyFill="1" applyAlignment="1">
      <alignment horizontal="left" wrapText="1"/>
    </xf>
    <xf numFmtId="0" fontId="16" fillId="0" borderId="6" xfId="3" quotePrefix="1" applyFont="1" applyBorder="1" applyAlignment="1">
      <alignment vertical="center"/>
    </xf>
    <xf numFmtId="0" fontId="16" fillId="0" borderId="42" xfId="3" applyFont="1" applyBorder="1" applyAlignment="1">
      <alignment vertical="center"/>
    </xf>
    <xf numFmtId="0" fontId="16" fillId="0" borderId="39" xfId="3" quotePrefix="1" applyFont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6" borderId="41" xfId="0" applyFon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10" fillId="11" borderId="0" xfId="0" applyFont="1" applyFill="1" applyBorder="1" applyAlignment="1">
      <alignment vertical="top"/>
    </xf>
    <xf numFmtId="0" fontId="0" fillId="11" borderId="1" xfId="0" applyFill="1" applyBorder="1"/>
    <xf numFmtId="0" fontId="16" fillId="11" borderId="6" xfId="3" quotePrefix="1" applyFont="1" applyFill="1" applyBorder="1" applyAlignment="1">
      <alignment vertical="center"/>
    </xf>
    <xf numFmtId="0" fontId="0" fillId="11" borderId="1" xfId="0" applyFont="1" applyFill="1" applyBorder="1" applyAlignment="1">
      <alignment vertical="center"/>
    </xf>
    <xf numFmtId="0" fontId="0" fillId="11" borderId="2" xfId="0" applyFont="1" applyFill="1" applyBorder="1" applyAlignment="1">
      <alignment vertical="center"/>
    </xf>
    <xf numFmtId="0" fontId="16" fillId="11" borderId="6" xfId="3" quotePrefix="1" applyFont="1" applyFill="1" applyBorder="1" applyAlignment="1"/>
    <xf numFmtId="0" fontId="10" fillId="11" borderId="0" xfId="0" applyFont="1" applyFill="1" applyAlignment="1"/>
    <xf numFmtId="0" fontId="0" fillId="11" borderId="0" xfId="0" applyFill="1" applyAlignment="1"/>
    <xf numFmtId="0" fontId="19" fillId="11" borderId="0" xfId="0" applyFont="1" applyFill="1" applyAlignment="1">
      <alignment horizontal="left" vertical="center"/>
    </xf>
    <xf numFmtId="0" fontId="14" fillId="11" borderId="0" xfId="0" applyFont="1" applyFill="1" applyAlignment="1">
      <alignment vertical="center"/>
    </xf>
    <xf numFmtId="167" fontId="21" fillId="11" borderId="0" xfId="0" applyNumberFormat="1" applyFont="1" applyFill="1" applyBorder="1"/>
    <xf numFmtId="167" fontId="21" fillId="11" borderId="0" xfId="0" applyNumberFormat="1" applyFont="1" applyFill="1" applyBorder="1" applyAlignment="1">
      <alignment horizontal="center"/>
    </xf>
    <xf numFmtId="10" fontId="20" fillId="11" borderId="0" xfId="1" applyNumberFormat="1" applyFont="1" applyFill="1" applyBorder="1"/>
    <xf numFmtId="10" fontId="20" fillId="11" borderId="0" xfId="1" applyNumberFormat="1" applyFont="1" applyFill="1" applyBorder="1" applyAlignment="1">
      <alignment horizontal="right"/>
    </xf>
    <xf numFmtId="0" fontId="0" fillId="6" borderId="2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0" borderId="28" xfId="0" applyFont="1" applyBorder="1" applyAlignment="1">
      <alignment vertical="center"/>
    </xf>
    <xf numFmtId="0" fontId="16" fillId="11" borderId="7" xfId="3" quotePrefix="1" applyFont="1" applyFill="1" applyBorder="1" applyAlignment="1">
      <alignment vertical="center"/>
    </xf>
    <xf numFmtId="0" fontId="0" fillId="11" borderId="43" xfId="0" applyFont="1" applyFill="1" applyBorder="1" applyAlignment="1">
      <alignment vertical="center"/>
    </xf>
    <xf numFmtId="175" fontId="0" fillId="11" borderId="38" xfId="2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Continuous" vertical="center"/>
    </xf>
    <xf numFmtId="0" fontId="2" fillId="6" borderId="23" xfId="0" applyFont="1" applyFill="1" applyBorder="1" applyAlignment="1">
      <alignment horizontal="centerContinuous" vertical="center"/>
    </xf>
    <xf numFmtId="0" fontId="2" fillId="6" borderId="4" xfId="0" applyFont="1" applyFill="1" applyBorder="1" applyAlignment="1">
      <alignment horizontal="centerContinuous" vertical="center"/>
    </xf>
    <xf numFmtId="175" fontId="0" fillId="11" borderId="33" xfId="2" applyNumberFormat="1" applyFont="1" applyFill="1" applyBorder="1" applyAlignment="1">
      <alignment horizontal="center" vertical="center"/>
    </xf>
    <xf numFmtId="175" fontId="0" fillId="11" borderId="32" xfId="2" applyNumberFormat="1" applyFont="1" applyFill="1" applyBorder="1" applyAlignment="1">
      <alignment horizontal="center" vertical="center"/>
    </xf>
    <xf numFmtId="175" fontId="0" fillId="11" borderId="31" xfId="2" applyNumberFormat="1" applyFont="1" applyFill="1" applyBorder="1" applyAlignment="1">
      <alignment horizontal="center" vertical="center"/>
    </xf>
    <xf numFmtId="175" fontId="0" fillId="11" borderId="37" xfId="2" applyNumberFormat="1" applyFont="1" applyFill="1" applyBorder="1" applyAlignment="1">
      <alignment horizontal="center" vertical="center"/>
    </xf>
    <xf numFmtId="175" fontId="0" fillId="11" borderId="39" xfId="2" applyNumberFormat="1" applyFont="1" applyFill="1" applyBorder="1" applyAlignment="1">
      <alignment horizontal="center" vertical="center"/>
    </xf>
    <xf numFmtId="175" fontId="0" fillId="11" borderId="35" xfId="2" applyNumberFormat="1" applyFont="1" applyFill="1" applyBorder="1" applyAlignment="1">
      <alignment horizontal="center" vertical="center"/>
    </xf>
    <xf numFmtId="175" fontId="9" fillId="11" borderId="35" xfId="2" applyNumberFormat="1" applyFont="1" applyFill="1" applyBorder="1" applyAlignment="1">
      <alignment horizontal="center" vertical="center"/>
    </xf>
    <xf numFmtId="175" fontId="9" fillId="11" borderId="5" xfId="2" applyNumberFormat="1" applyFont="1" applyFill="1" applyBorder="1" applyAlignment="1">
      <alignment horizontal="center" vertical="center"/>
    </xf>
    <xf numFmtId="0" fontId="22" fillId="11" borderId="0" xfId="0" applyFont="1" applyFill="1"/>
    <xf numFmtId="171" fontId="0" fillId="11" borderId="0" xfId="2" applyNumberFormat="1" applyFont="1" applyFill="1"/>
    <xf numFmtId="171" fontId="2" fillId="11" borderId="22" xfId="2" applyNumberFormat="1" applyFont="1" applyFill="1" applyBorder="1"/>
    <xf numFmtId="176" fontId="0" fillId="11" borderId="14" xfId="2" applyNumberFormat="1" applyFont="1" applyFill="1" applyBorder="1"/>
    <xf numFmtId="0" fontId="23" fillId="11" borderId="0" xfId="0" applyFont="1" applyFill="1"/>
    <xf numFmtId="0" fontId="3" fillId="11" borderId="15" xfId="0" applyFont="1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18" xfId="0" applyFill="1" applyBorder="1"/>
    <xf numFmtId="0" fontId="2" fillId="11" borderId="1" xfId="0" applyFont="1" applyFill="1" applyBorder="1"/>
    <xf numFmtId="0" fontId="2" fillId="11" borderId="0" xfId="0" applyFont="1" applyFill="1" applyBorder="1"/>
    <xf numFmtId="0" fontId="0" fillId="0" borderId="0" xfId="0" applyBorder="1"/>
    <xf numFmtId="170" fontId="0" fillId="11" borderId="0" xfId="0" applyNumberFormat="1" applyFill="1" applyBorder="1"/>
    <xf numFmtId="168" fontId="0" fillId="11" borderId="0" xfId="0" applyNumberFormat="1" applyFill="1" applyBorder="1"/>
    <xf numFmtId="0" fontId="3" fillId="11" borderId="1" xfId="0" applyFont="1" applyFill="1" applyBorder="1"/>
    <xf numFmtId="0" fontId="0" fillId="0" borderId="9" xfId="0" applyBorder="1"/>
    <xf numFmtId="168" fontId="0" fillId="11" borderId="18" xfId="0" applyNumberFormat="1" applyFill="1" applyBorder="1"/>
    <xf numFmtId="172" fontId="0" fillId="0" borderId="33" xfId="2" applyNumberFormat="1" applyFont="1" applyBorder="1" applyAlignment="1">
      <alignment horizontal="center"/>
    </xf>
    <xf numFmtId="172" fontId="0" fillId="0" borderId="5" xfId="2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8" xfId="0" applyBorder="1" applyAlignment="1">
      <alignment horizontal="center"/>
    </xf>
    <xf numFmtId="172" fontId="0" fillId="0" borderId="32" xfId="2" applyNumberFormat="1" applyFont="1" applyBorder="1" applyAlignment="1">
      <alignment horizontal="center"/>
    </xf>
    <xf numFmtId="172" fontId="0" fillId="0" borderId="34" xfId="2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6" borderId="14" xfId="0" applyFill="1" applyBorder="1" applyAlignment="1">
      <alignment vertical="center"/>
    </xf>
    <xf numFmtId="0" fontId="6" fillId="6" borderId="14" xfId="0" applyFont="1" applyFill="1" applyBorder="1" applyAlignment="1">
      <alignment horizontal="right" vertical="center"/>
    </xf>
    <xf numFmtId="167" fontId="2" fillId="9" borderId="14" xfId="0" applyNumberFormat="1" applyFont="1" applyFill="1" applyBorder="1"/>
    <xf numFmtId="0" fontId="0" fillId="11" borderId="0" xfId="0" applyFill="1"/>
    <xf numFmtId="0" fontId="0" fillId="11" borderId="9" xfId="0" applyFill="1" applyBorder="1"/>
    <xf numFmtId="0" fontId="0" fillId="11" borderId="0" xfId="0" applyFill="1" applyBorder="1"/>
    <xf numFmtId="0" fontId="0" fillId="11" borderId="1" xfId="0" applyFill="1" applyBorder="1"/>
    <xf numFmtId="171" fontId="0" fillId="11" borderId="45" xfId="2" applyNumberFormat="1" applyFont="1" applyFill="1" applyBorder="1"/>
    <xf numFmtId="0" fontId="4" fillId="12" borderId="20" xfId="0" applyFont="1" applyFill="1" applyBorder="1"/>
    <xf numFmtId="0" fontId="0" fillId="12" borderId="20" xfId="0" applyFill="1" applyBorder="1"/>
    <xf numFmtId="0" fontId="23" fillId="11" borderId="0" xfId="0" applyFont="1" applyFill="1" applyBorder="1"/>
    <xf numFmtId="0" fontId="23" fillId="11" borderId="18" xfId="0" applyFont="1" applyFill="1" applyBorder="1"/>
    <xf numFmtId="176" fontId="0" fillId="11" borderId="1" xfId="2" applyNumberFormat="1" applyFont="1" applyFill="1" applyBorder="1"/>
    <xf numFmtId="176" fontId="0" fillId="11" borderId="0" xfId="2" applyNumberFormat="1" applyFont="1" applyFill="1" applyBorder="1"/>
    <xf numFmtId="176" fontId="0" fillId="11" borderId="18" xfId="2" applyNumberFormat="1" applyFont="1" applyFill="1" applyBorder="1"/>
    <xf numFmtId="176" fontId="0" fillId="11" borderId="24" xfId="2" applyNumberFormat="1" applyFont="1" applyFill="1" applyBorder="1"/>
    <xf numFmtId="176" fontId="0" fillId="11" borderId="25" xfId="2" applyNumberFormat="1" applyFont="1" applyFill="1" applyBorder="1"/>
    <xf numFmtId="171" fontId="0" fillId="11" borderId="0" xfId="2" applyNumberFormat="1" applyFont="1" applyFill="1" applyBorder="1"/>
    <xf numFmtId="171" fontId="0" fillId="11" borderId="0" xfId="0" applyNumberFormat="1" applyFill="1" applyBorder="1"/>
    <xf numFmtId="43" fontId="0" fillId="11" borderId="0" xfId="0" applyNumberFormat="1" applyFill="1" applyBorder="1"/>
    <xf numFmtId="0" fontId="2" fillId="11" borderId="46" xfId="0" applyFont="1" applyFill="1" applyBorder="1"/>
    <xf numFmtId="0" fontId="0" fillId="11" borderId="2" xfId="0" applyFill="1" applyBorder="1"/>
    <xf numFmtId="43" fontId="0" fillId="11" borderId="9" xfId="0" applyNumberFormat="1" applyFill="1" applyBorder="1"/>
    <xf numFmtId="0" fontId="0" fillId="11" borderId="19" xfId="0" applyFill="1" applyBorder="1"/>
    <xf numFmtId="0" fontId="11" fillId="11" borderId="0" xfId="0" applyFont="1" applyFill="1" applyBorder="1"/>
    <xf numFmtId="0" fontId="12" fillId="11" borderId="0" xfId="0" applyFont="1" applyFill="1" applyBorder="1"/>
    <xf numFmtId="175" fontId="0" fillId="11" borderId="34" xfId="2" applyNumberFormat="1" applyFont="1" applyFill="1" applyBorder="1" applyAlignment="1">
      <alignment horizontal="center" vertical="center"/>
    </xf>
    <xf numFmtId="172" fontId="0" fillId="0" borderId="37" xfId="2" applyNumberFormat="1" applyFont="1" applyBorder="1" applyAlignment="1">
      <alignment horizontal="center"/>
    </xf>
    <xf numFmtId="172" fontId="0" fillId="0" borderId="39" xfId="2" applyNumberFormat="1" applyFont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left"/>
    </xf>
    <xf numFmtId="0" fontId="11" fillId="13" borderId="0" xfId="0" applyFont="1" applyFill="1" applyBorder="1"/>
    <xf numFmtId="0" fontId="12" fillId="13" borderId="0" xfId="0" applyFont="1" applyFill="1" applyBorder="1"/>
    <xf numFmtId="0" fontId="12" fillId="13" borderId="18" xfId="0" applyFont="1" applyFill="1" applyBorder="1"/>
    <xf numFmtId="0" fontId="24" fillId="14" borderId="0" xfId="0" applyFont="1" applyFill="1" applyBorder="1" applyAlignment="1">
      <alignment horizontal="left"/>
    </xf>
    <xf numFmtId="0" fontId="6" fillId="14" borderId="0" xfId="0" applyFont="1" applyFill="1" applyBorder="1"/>
    <xf numFmtId="0" fontId="9" fillId="14" borderId="0" xfId="0" applyFont="1" applyFill="1" applyBorder="1"/>
    <xf numFmtId="0" fontId="0" fillId="11" borderId="1" xfId="0" applyFont="1" applyFill="1" applyBorder="1"/>
    <xf numFmtId="0" fontId="25" fillId="11" borderId="0" xfId="0" applyFont="1" applyFill="1" applyAlignment="1">
      <alignment horizontal="left"/>
    </xf>
    <xf numFmtId="0" fontId="24" fillId="14" borderId="15" xfId="0" applyFont="1" applyFill="1" applyBorder="1" applyAlignment="1">
      <alignment horizontal="left"/>
    </xf>
    <xf numFmtId="0" fontId="6" fillId="14" borderId="16" xfId="0" applyFont="1" applyFill="1" applyBorder="1"/>
    <xf numFmtId="0" fontId="9" fillId="14" borderId="16" xfId="0" applyFont="1" applyFill="1" applyBorder="1"/>
    <xf numFmtId="0" fontId="9" fillId="14" borderId="17" xfId="0" applyFont="1" applyFill="1" applyBorder="1"/>
    <xf numFmtId="0" fontId="11" fillId="10" borderId="49" xfId="0" applyFont="1" applyFill="1" applyBorder="1"/>
    <xf numFmtId="0" fontId="12" fillId="10" borderId="50" xfId="0" applyFont="1" applyFill="1" applyBorder="1"/>
    <xf numFmtId="0" fontId="11" fillId="10" borderId="1" xfId="0" applyFont="1" applyFill="1" applyBorder="1"/>
    <xf numFmtId="0" fontId="12" fillId="10" borderId="18" xfId="0" applyFont="1" applyFill="1" applyBorder="1"/>
    <xf numFmtId="0" fontId="11" fillId="11" borderId="1" xfId="0" applyFont="1" applyFill="1" applyBorder="1" applyAlignment="1">
      <alignment horizontal="right"/>
    </xf>
    <xf numFmtId="0" fontId="12" fillId="11" borderId="18" xfId="0" applyFont="1" applyFill="1" applyBorder="1"/>
    <xf numFmtId="0" fontId="0" fillId="6" borderId="24" xfId="0" applyFill="1" applyBorder="1" applyAlignment="1">
      <alignment vertical="center"/>
    </xf>
    <xf numFmtId="0" fontId="6" fillId="6" borderId="25" xfId="0" applyFont="1" applyFill="1" applyBorder="1" applyAlignment="1">
      <alignment horizontal="right" vertical="center"/>
    </xf>
    <xf numFmtId="0" fontId="0" fillId="11" borderId="24" xfId="0" applyFill="1" applyBorder="1"/>
    <xf numFmtId="176" fontId="0" fillId="11" borderId="0" xfId="0" applyNumberFormat="1" applyFill="1" applyBorder="1"/>
    <xf numFmtId="176" fontId="0" fillId="11" borderId="18" xfId="0" applyNumberFormat="1" applyFill="1" applyBorder="1"/>
    <xf numFmtId="0" fontId="0" fillId="11" borderId="46" xfId="0" applyFill="1" applyBorder="1"/>
    <xf numFmtId="0" fontId="2" fillId="11" borderId="2" xfId="0" applyFont="1" applyFill="1" applyBorder="1"/>
    <xf numFmtId="171" fontId="0" fillId="11" borderId="9" xfId="2" applyNumberFormat="1" applyFont="1" applyFill="1" applyBorder="1"/>
    <xf numFmtId="0" fontId="0" fillId="7" borderId="0" xfId="0" applyFont="1" applyFill="1" applyAlignment="1">
      <alignment horizontal="center" vertical="center"/>
    </xf>
    <xf numFmtId="171" fontId="0" fillId="11" borderId="18" xfId="2" applyNumberFormat="1" applyFont="1" applyFill="1" applyBorder="1"/>
    <xf numFmtId="175" fontId="0" fillId="11" borderId="0" xfId="0" applyNumberFormat="1" applyFill="1"/>
    <xf numFmtId="172" fontId="0" fillId="11" borderId="0" xfId="0" applyNumberFormat="1" applyFill="1"/>
    <xf numFmtId="172" fontId="0" fillId="3" borderId="0" xfId="0" applyNumberFormat="1" applyFill="1"/>
    <xf numFmtId="9" fontId="0" fillId="11" borderId="0" xfId="1" applyFont="1" applyFill="1"/>
    <xf numFmtId="175" fontId="0" fillId="11" borderId="9" xfId="0" applyNumberFormat="1" applyFill="1" applyBorder="1"/>
    <xf numFmtId="0" fontId="0" fillId="11" borderId="51" xfId="0" applyFont="1" applyFill="1" applyBorder="1" applyAlignment="1">
      <alignment vertical="center"/>
    </xf>
    <xf numFmtId="0" fontId="0" fillId="0" borderId="43" xfId="0" applyFont="1" applyBorder="1" applyAlignment="1">
      <alignment vertical="center" wrapText="1"/>
    </xf>
    <xf numFmtId="177" fontId="0" fillId="11" borderId="0" xfId="0" applyNumberFormat="1" applyFill="1"/>
    <xf numFmtId="0" fontId="0" fillId="0" borderId="2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</cellXfs>
  <cellStyles count="6">
    <cellStyle name="Comma" xfId="2" builtinId="3"/>
    <cellStyle name="Comma 2" xfId="4"/>
    <cellStyle name="Currency 2" xfId="5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99FF99"/>
      <color rgb="FFFFCCFF"/>
      <color rgb="FFFBFFFF"/>
      <color rgb="FFCCFFFF"/>
      <color rgb="FFFFFF00"/>
      <color rgb="FF66FF66"/>
      <color rgb="FF00FF99"/>
      <color rgb="FFFF99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5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8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Scenario weighted net economic benefit</a:t>
            </a:r>
            <a:r>
              <a:rPr lang="en-AU" baseline="0"/>
              <a:t> for all Credible Options ($ million, NPV)</a:t>
            </a:r>
            <a:endParaRPr lang="en-A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Terminal Value (Cost approach)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Results!$B$9:$B$12</c:f>
              <c:strCache>
                <c:ptCount val="4"/>
                <c:pt idx="0">
                  <c:v>Option 1:  600 MW in 2027 </c:v>
                </c:pt>
                <c:pt idx="1">
                  <c:v>Option 2:  750 MW in 2027</c:v>
                </c:pt>
                <c:pt idx="2">
                  <c:v>Option 3:  600 MW in 2027 and 600 MW in 2029</c:v>
                </c:pt>
                <c:pt idx="3">
                  <c:v>Option 4:  750 MW in 2027 and 750 MW in 2029</c:v>
                </c:pt>
              </c:strCache>
            </c:strRef>
          </c:cat>
          <c:val>
            <c:numRef>
              <c:f>Results!$H$28:$H$31</c:f>
              <c:numCache>
                <c:formatCode>#,##0_ ;\-#,##0\ </c:formatCode>
                <c:ptCount val="4"/>
                <c:pt idx="0">
                  <c:v>1238.8834565875893</c:v>
                </c:pt>
                <c:pt idx="1">
                  <c:v>1617.2648798571809</c:v>
                </c:pt>
                <c:pt idx="2">
                  <c:v>1775.3386735474683</c:v>
                </c:pt>
                <c:pt idx="3">
                  <c:v>1941.3881415484764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4-47B8-B2AC-3EA91776DF5C}"/>
            </c:ext>
          </c:extLst>
        </c:ser>
        <c:ser>
          <c:idx val="0"/>
          <c:order val="1"/>
          <c:tx>
            <c:v>Annualised approach (PACR)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Results!$B$9:$B$12</c:f>
              <c:strCache>
                <c:ptCount val="4"/>
                <c:pt idx="0">
                  <c:v>Option 1:  600 MW in 2027 </c:v>
                </c:pt>
                <c:pt idx="1">
                  <c:v>Option 2:  750 MW in 2027</c:v>
                </c:pt>
                <c:pt idx="2">
                  <c:v>Option 3:  600 MW in 2027 and 600 MW in 2029</c:v>
                </c:pt>
                <c:pt idx="3">
                  <c:v>Option 4:  750 MW in 2027 and 750 MW in 2029</c:v>
                </c:pt>
              </c:strCache>
            </c:strRef>
          </c:cat>
          <c:val>
            <c:numRef>
              <c:f>Results!$H$9:$H$12</c:f>
              <c:numCache>
                <c:formatCode>#,##0_ ;\-#,##0\ </c:formatCode>
                <c:ptCount val="4"/>
                <c:pt idx="0">
                  <c:v>1333.9707943218345</c:v>
                </c:pt>
                <c:pt idx="1">
                  <c:v>1718.9855918355147</c:v>
                </c:pt>
                <c:pt idx="2">
                  <c:v>1924.7184977606346</c:v>
                </c:pt>
                <c:pt idx="3">
                  <c:v>2099.3901934973487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74-47B8-B2AC-3EA91776DF5C}"/>
            </c:ext>
          </c:extLst>
        </c:ser>
        <c:ser>
          <c:idx val="1"/>
          <c:order val="2"/>
          <c:tx>
            <c:v>Terminal Value (Benefits approach)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Results!$B$9:$B$12</c:f>
              <c:strCache>
                <c:ptCount val="4"/>
                <c:pt idx="0">
                  <c:v>Option 1:  600 MW in 2027 </c:v>
                </c:pt>
                <c:pt idx="1">
                  <c:v>Option 2:  750 MW in 2027</c:v>
                </c:pt>
                <c:pt idx="2">
                  <c:v>Option 3:  600 MW in 2027 and 600 MW in 2029</c:v>
                </c:pt>
                <c:pt idx="3">
                  <c:v>Option 4:  750 MW in 2027 and 750 MW in 2029</c:v>
                </c:pt>
              </c:strCache>
            </c:strRef>
          </c:cat>
          <c:val>
            <c:numRef>
              <c:f>Results!$H$20:$H$23</c:f>
              <c:numCache>
                <c:formatCode>#,##0_ ;\-#,##0\ </c:formatCode>
                <c:ptCount val="4"/>
                <c:pt idx="0">
                  <c:v>2325.4354147270724</c:v>
                </c:pt>
                <c:pt idx="1">
                  <c:v>2925.4039912788257</c:v>
                </c:pt>
                <c:pt idx="2">
                  <c:v>3516.9595838102823</c:v>
                </c:pt>
                <c:pt idx="3">
                  <c:v>3859.0547080542965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74-47B8-B2AC-3EA91776D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6941840"/>
        <c:axId val="916942496"/>
      </c:barChart>
      <c:catAx>
        <c:axId val="91694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Credible</a:t>
                </a:r>
                <a:r>
                  <a:rPr lang="en-AU" baseline="0"/>
                  <a:t> Options</a:t>
                </a:r>
                <a:endParaRPr lang="en-A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942496"/>
        <c:crosses val="autoZero"/>
        <c:auto val="1"/>
        <c:lblAlgn val="ctr"/>
        <c:lblOffset val="100"/>
        <c:noMultiLvlLbl val="0"/>
      </c:catAx>
      <c:valAx>
        <c:axId val="9169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>
                    <a:solidFill>
                      <a:sysClr val="windowText" lastClr="000000"/>
                    </a:solidFill>
                  </a:rPr>
                  <a:t>Net economic benefit ($ million, NPV)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94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baseline="0">
                <a:effectLst/>
              </a:rPr>
              <a:t>Scenario weighted net economic benefit for all Credible Options ($ million, NPV)</a:t>
            </a:r>
            <a:endParaRPr lang="en-AU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Results!$H$8</c:f>
              <c:strCache>
                <c:ptCount val="1"/>
                <c:pt idx="0">
                  <c:v>All scenarios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Results!$B$9:$B$12</c:f>
              <c:strCache>
                <c:ptCount val="4"/>
                <c:pt idx="0">
                  <c:v>Option 1:  600 MW in 2027 </c:v>
                </c:pt>
                <c:pt idx="1">
                  <c:v>Option 2:  750 MW in 2027</c:v>
                </c:pt>
                <c:pt idx="2">
                  <c:v>Option 3:  600 MW in 2027 and 600 MW in 2029</c:v>
                </c:pt>
                <c:pt idx="3">
                  <c:v>Option 4:  750 MW in 2027 and 750 MW in 2029</c:v>
                </c:pt>
              </c:strCache>
            </c:strRef>
          </c:cat>
          <c:val>
            <c:numRef>
              <c:f>Results!$H$9:$H$12</c:f>
              <c:numCache>
                <c:formatCode>#,##0_ ;\-#,##0\ </c:formatCode>
                <c:ptCount val="4"/>
                <c:pt idx="0">
                  <c:v>1333.9707943218345</c:v>
                </c:pt>
                <c:pt idx="1">
                  <c:v>1718.9855918355147</c:v>
                </c:pt>
                <c:pt idx="2">
                  <c:v>1924.7184977606346</c:v>
                </c:pt>
                <c:pt idx="3">
                  <c:v>2099.3901934973487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D-4F1E-81F6-1B9643CED556}"/>
            </c:ext>
          </c:extLst>
        </c:ser>
        <c:ser>
          <c:idx val="1"/>
          <c:order val="1"/>
          <c:tx>
            <c:strRef>
              <c:f>Results!$I$8</c:f>
              <c:strCache>
                <c:ptCount val="1"/>
                <c:pt idx="0">
                  <c:v>ISP Weighting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Results!$B$9:$B$12</c:f>
              <c:strCache>
                <c:ptCount val="4"/>
                <c:pt idx="0">
                  <c:v>Option 1:  600 MW in 2027 </c:v>
                </c:pt>
                <c:pt idx="1">
                  <c:v>Option 2:  750 MW in 2027</c:v>
                </c:pt>
                <c:pt idx="2">
                  <c:v>Option 3:  600 MW in 2027 and 600 MW in 2029</c:v>
                </c:pt>
                <c:pt idx="3">
                  <c:v>Option 4:  750 MW in 2027 and 750 MW in 2029</c:v>
                </c:pt>
              </c:strCache>
            </c:strRef>
          </c:cat>
          <c:val>
            <c:numRef>
              <c:f>Results!$I$9:$I$12</c:f>
              <c:numCache>
                <c:formatCode>#,##0_ ;\-#,##0\ </c:formatCode>
                <c:ptCount val="4"/>
                <c:pt idx="0">
                  <c:v>1481.5006331510351</c:v>
                </c:pt>
                <c:pt idx="1">
                  <c:v>1867.8648967431573</c:v>
                </c:pt>
                <c:pt idx="2">
                  <c:v>2000.7865243579483</c:v>
                </c:pt>
                <c:pt idx="3">
                  <c:v>2160.5342485821789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D-4F1E-81F6-1B9643CED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1790776"/>
        <c:axId val="741792088"/>
      </c:barChart>
      <c:catAx>
        <c:axId val="741790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baseline="0">
                    <a:effectLst/>
                  </a:rPr>
                  <a:t>Credible Options</a:t>
                </a:r>
                <a:endParaRPr lang="en-AU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792088"/>
        <c:crosses val="autoZero"/>
        <c:auto val="1"/>
        <c:lblAlgn val="ctr"/>
        <c:lblOffset val="100"/>
        <c:noMultiLvlLbl val="0"/>
      </c:catAx>
      <c:valAx>
        <c:axId val="74179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baseline="0">
                    <a:solidFill>
                      <a:sysClr val="windowText" lastClr="000000"/>
                    </a:solidFill>
                    <a:effectLst/>
                  </a:rPr>
                  <a:t>Net economic benefit ($ million, NPV)</a:t>
                </a:r>
                <a:endParaRPr lang="en-AU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79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3000375</xdr:colOff>
      <xdr:row>24</xdr:row>
      <xdr:rowOff>85725</xdr:rowOff>
    </xdr:from>
    <xdr:to>
      <xdr:col>1</xdr:col>
      <xdr:colOff>3305175</xdr:colOff>
      <xdr:row>28</xdr:row>
      <xdr:rowOff>47625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FCD1DA69-910C-46BC-817F-9F9180DC1FD5}"/>
            </a:ext>
          </a:extLst>
        </xdr:cNvPr>
        <xdr:cNvSpPr/>
      </xdr:nvSpPr>
      <xdr:spPr>
        <a:xfrm>
          <a:off x="3790950" y="6724650"/>
          <a:ext cx="304800" cy="771525"/>
        </a:xfrm>
        <a:prstGeom prst="leftBrace">
          <a:avLst>
            <a:gd name="adj1" fmla="val 75901"/>
            <a:gd name="adj2" fmla="val 41150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/Documents/TasNetworks/Basslink%202/Marinus%20modelling/EY%20completed/Summary%20workbook%20for%2020190729a_SlowChange_DemandFix_M750MW_FY27_and_FY31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/Documents/TasNetworks/Basslink%202/Marinus%20modelling/SlowChange_DemandFix_M1500MW_FY28_28_and_FY27_29_and_FY29_31_and_FY29_33_and_FY31_3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Macro"/>
      <sheetName val="Case assumptions"/>
      <sheetName val="Scenario effects"/>
      <sheetName val="Unit nameplate capacity"/>
      <sheetName val="Unit to Tech"/>
      <sheetName val="Annual CF Case 1"/>
      <sheetName val="Annual CF Case 2"/>
      <sheetName val="Annual CF Case 3"/>
      <sheetName val="Annual CF Case 4"/>
      <sheetName val="Annual GWh as-gen Case 1"/>
      <sheetName val="Annual GWh as-gen Case 2"/>
      <sheetName val="Annual GWh as-gen Case 3"/>
      <sheetName val="Annual GWh as-gen Case 4"/>
      <sheetName val="NPV Case 1"/>
      <sheetName val="NPV Case 2"/>
      <sheetName val="NPV Case 3"/>
      <sheetName val="NPV Case 4"/>
      <sheetName val="NPV compare #1#"/>
      <sheetName val="NPV compare #2#"/>
      <sheetName val="NPV compare #3#"/>
      <sheetName val="Annual region NPV Case 1"/>
      <sheetName val="Annual region NPV Case 2"/>
      <sheetName val="Annual region NPV Case 3"/>
      <sheetName val="Annual region NPV Case 4"/>
      <sheetName val="Annual region NPV compare #1#"/>
      <sheetName val="Annual region NPV compare #2#"/>
      <sheetName val="Annual region NPV compare #3#"/>
      <sheetName val="Region NPV yearly Case 1"/>
      <sheetName val="Region NPV yearly Case 2"/>
      <sheetName val="Region NPV yearly Case 3"/>
      <sheetName val="Region NPV yearly Case 4"/>
      <sheetName val="Region NPV yearly compare #1#"/>
      <sheetName val="Region NPV yearly compare #2#"/>
      <sheetName val="Region NPV yearly compare #3#"/>
      <sheetName val="Annual tech NPV Case 1"/>
      <sheetName val="Annual tech NPV Case 2"/>
      <sheetName val="Annual tech NPV Case 3"/>
      <sheetName val="Annual tech NPV Case 4"/>
      <sheetName val="Annual tech NPV compare #1#"/>
      <sheetName val="Annual tech NPV compare #2#"/>
      <sheetName val="Annual tech NPV compare #3#"/>
      <sheetName val="Tech NPV yearly Case 1"/>
      <sheetName val="Tech NPV yearly Case 2"/>
      <sheetName val="Tech NPV yearly Case 3"/>
      <sheetName val="Tech NPV yearly Case 4"/>
      <sheetName val="Tech NPV yearly compare #1#"/>
      <sheetName val="Tech NPV yearly compare #2#"/>
      <sheetName val="Tech NPV yearly compare #3#"/>
      <sheetName val="Gen as-generated Case 1"/>
      <sheetName val="Gen as-generated Case 2"/>
      <sheetName val="Gen as-generated Case 3"/>
      <sheetName val="Gen as-generated Case 4"/>
      <sheetName val="Gen as-generated compare #1#"/>
      <sheetName val="Gen as-generated compare #2#"/>
      <sheetName val="Gen as-generated compare #3#"/>
      <sheetName val="Gen - Node-REZ Case 1"/>
      <sheetName val="Gen - Node-REZ Case 2"/>
      <sheetName val="Gen - Node-REZ Case 3"/>
      <sheetName val="Gen - Node-REZ Case 4"/>
      <sheetName val="Gen - Node-REZ compare #1#"/>
      <sheetName val="Gen - Node-REZ compare #2#"/>
      <sheetName val="Gen - Node-REZ compare #3#"/>
      <sheetName val="NEM capacity Case 1"/>
      <sheetName val="NEM capacity Case 2"/>
      <sheetName val="NEM capacity Case 3"/>
      <sheetName val="NEM capacity Case 4"/>
      <sheetName val="NEM capacity compare #1#"/>
      <sheetName val="NEM capacity compare #2#"/>
      <sheetName val="NEM capacity compare #3#"/>
      <sheetName val="Node-REZ capacity Case 1"/>
      <sheetName val="Node-REZ capacity Case 2"/>
      <sheetName val="Node-REZ capacity Case 3"/>
      <sheetName val="Node-REZ capacity Case 4"/>
      <sheetName val="Node-REZ capacity compare #1#"/>
      <sheetName val="Node-REZ capacity compare #2#"/>
      <sheetName val="Node-REZ capacity compare #3#"/>
      <sheetName val="Auto capacity Case 1"/>
      <sheetName val="Auto capacity Case 2"/>
      <sheetName val="Auto capacity Case 3"/>
      <sheetName val="Auto capacity Case 4"/>
      <sheetName val="Auto capacity compare #1#"/>
      <sheetName val="Auto capacity compare #2#"/>
      <sheetName val="Auto capacity compare #3#"/>
      <sheetName val="Auto REZ overview Case 1"/>
      <sheetName val="Auto REZ overview Case 2"/>
      <sheetName val="Auto REZ overview Case 3"/>
      <sheetName val="Auto REZ overview Case 4"/>
      <sheetName val="Auto REZ overview compare #1#"/>
      <sheetName val="Auto REZ overview compare #2#"/>
      <sheetName val="Auto REZ overview compare #3#"/>
      <sheetName val="Proxy price Case 1"/>
      <sheetName val="Proxy price Case 2"/>
      <sheetName val="Proxy price Case 3"/>
      <sheetName val="Proxy price Case 4"/>
      <sheetName val="Proxy price compare #1#"/>
      <sheetName val="Proxy price compare #2#"/>
      <sheetName val="Proxy price compare #3#"/>
      <sheetName val="Proxy price hourly Case 1"/>
      <sheetName val="Proxy price hourly Case 2"/>
      <sheetName val="Proxy price hourly Case 3"/>
      <sheetName val="Proxy price hourly Case 4"/>
      <sheetName val="Proxy price hourly compare #1#"/>
      <sheetName val="Proxy price hourly compare #2#"/>
      <sheetName val="Proxy price hourly compare #3#"/>
      <sheetName val="Energy flow Case 1"/>
      <sheetName val="Energy flow Case 2"/>
      <sheetName val="Energy flow Case 3"/>
      <sheetName val="Energy flow Case 4"/>
      <sheetName val="Energy flow compare #1#"/>
      <sheetName val="Energy flow compare #2#"/>
      <sheetName val="Energy flow compare #3#"/>
      <sheetName val="USE Case 1"/>
      <sheetName val="USE Case 2"/>
      <sheetName val="USE Case 3"/>
      <sheetName val="USE Case 4"/>
      <sheetName val="USE compare #1#"/>
      <sheetName val="USE compare #2#"/>
      <sheetName val="USE compare #3#"/>
      <sheetName val="Emissions Case 1"/>
      <sheetName val="Emissions Case 2"/>
      <sheetName val="Emissions Case 3"/>
      <sheetName val="Emissions Case 4"/>
      <sheetName val="Emissions compare #1#"/>
      <sheetName val="Emissions compare #2#"/>
      <sheetName val="Emissions compare #3#"/>
      <sheetName val="NSW to QLD Case 1"/>
      <sheetName val="NSW to QLD Case 2"/>
      <sheetName val="NSW to QLD Case 3"/>
      <sheetName val="NSW to QLD Case 4"/>
      <sheetName val="VIC to NSW Case 1"/>
      <sheetName val="VIC to NSW Case 2"/>
      <sheetName val="VIC to NSW Case 3"/>
      <sheetName val="VIC to NSW Case 4"/>
      <sheetName val="VIC to SA Case 1"/>
      <sheetName val="VIC to SA Case 2"/>
      <sheetName val="VIC to SA Case 3"/>
      <sheetName val="VIC to SA Case 4"/>
      <sheetName val="NSW to SA Case 1"/>
      <sheetName val="NSW to SA Case 2"/>
      <sheetName val="NSW to SA Case 3"/>
      <sheetName val="NSW to SA Case 4"/>
      <sheetName val="TAS to VIC Case 1"/>
      <sheetName val="TAS to VIC Case 2"/>
      <sheetName val="TAS to VIC Case 3"/>
      <sheetName val="TAS to VIC Case 4"/>
      <sheetName val="1_DBCapacity"/>
      <sheetName val="1_RetirmentWindow"/>
      <sheetName val="1_UnitAndNECapacity"/>
      <sheetName val="1_AnnualGenerationAG"/>
      <sheetName val="1_AnnualGenerationSO"/>
      <sheetName val="1_AnnualGeneration"/>
      <sheetName val="1_AnnualCapacity"/>
      <sheetName val="1_DurationData"/>
      <sheetName val="1_TODLink"/>
      <sheetName val="1_AnnualLink"/>
      <sheetName val="1_AnnualNodeSummary"/>
      <sheetName val="1_TODNodeSummary"/>
      <sheetName val="1_DemandSummary"/>
      <sheetName val="1_AnnualDemandMax"/>
      <sheetName val="1_NPVall"/>
      <sheetName val="1_Emissions"/>
      <sheetName val="1_BuildLimits"/>
      <sheetName val="1_CF"/>
      <sheetName val="2_DBCapacity"/>
      <sheetName val="3_DBCapacity"/>
      <sheetName val="4_DBCapacity"/>
      <sheetName val="2_RetirmentWindow"/>
      <sheetName val="3_RetirmentWindow"/>
      <sheetName val="4_RetirmentWindow"/>
      <sheetName val="2_UnitAndNECapacity"/>
      <sheetName val="3_UnitAndNECapacity"/>
      <sheetName val="4_UnitAndNECapacity"/>
      <sheetName val="2_AnnualGenerationAG"/>
      <sheetName val="3_AnnualGenerationAG"/>
      <sheetName val="4_AnnualGenerationAG"/>
      <sheetName val="2_AnnualGenerationSO"/>
      <sheetName val="3_AnnualGenerationSO"/>
      <sheetName val="4_AnnualGenerationSO"/>
      <sheetName val="2_AnnualGeneration"/>
      <sheetName val="3_AnnualGeneration"/>
      <sheetName val="4_AnnualGeneration"/>
      <sheetName val="2_AnnualCapacity"/>
      <sheetName val="3_AnnualCapacity"/>
      <sheetName val="4_AnnualCapacity"/>
      <sheetName val="2_DurationData"/>
      <sheetName val="3_DurationData"/>
      <sheetName val="4_DurationData"/>
      <sheetName val="2_TODLink"/>
      <sheetName val="3_TODLink"/>
      <sheetName val="4_TODLink"/>
      <sheetName val="2_AnnualLink"/>
      <sheetName val="3_AnnualLink"/>
      <sheetName val="4_AnnualLink"/>
      <sheetName val="2_AnnualNodeSummary"/>
      <sheetName val="3_AnnualNodeSummary"/>
      <sheetName val="4_AnnualNodeSummary"/>
      <sheetName val="2_TODNodeSummary"/>
      <sheetName val="3_TODNodeSummary"/>
      <sheetName val="4_TODNodeSummary"/>
      <sheetName val="2_DemandSummary"/>
      <sheetName val="3_DemandSummary"/>
      <sheetName val="4_DemandSummary"/>
      <sheetName val="2_AnnualDemandMax"/>
      <sheetName val="3_AnnualDemandMax"/>
      <sheetName val="4_AnnualDemandMax"/>
      <sheetName val="2_NPVall"/>
      <sheetName val="3_NPVall"/>
      <sheetName val="4_NPVall"/>
      <sheetName val="2_Emissions"/>
      <sheetName val="3_Emissions"/>
      <sheetName val="4_Emissions"/>
      <sheetName val="2_BuildLimits"/>
      <sheetName val="3_BuildLimits"/>
      <sheetName val="4_BuildLimits"/>
      <sheetName val="2_CF"/>
      <sheetName val="3_CF"/>
      <sheetName val="4_CF"/>
    </sheetNames>
    <sheetDataSet>
      <sheetData sheetId="0"/>
      <sheetData sheetId="1">
        <row r="3">
          <cell r="D3" t="str">
            <v>SCS</v>
          </cell>
        </row>
        <row r="4">
          <cell r="D4" t="str">
            <v>SCS M1200 M1_27 M2_29</v>
          </cell>
        </row>
        <row r="5">
          <cell r="D5" t="str">
            <v>SCS M750 M1_27</v>
          </cell>
        </row>
        <row r="6">
          <cell r="D6" t="str">
            <v>SCS M750 M1_31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Macro"/>
      <sheetName val="Case assumptions"/>
      <sheetName val="Scenario effects"/>
      <sheetName val="Unit nameplate capacity"/>
      <sheetName val="Unit to Tech"/>
      <sheetName val="Annual CF Case 1"/>
      <sheetName val="Annual CF Case 2"/>
      <sheetName val="Annual CF Case 3"/>
      <sheetName val="Annual CF Case 4"/>
      <sheetName val="Annual CF Case 5"/>
      <sheetName val="Annual CF Case 6"/>
      <sheetName val="Annual GWh as-gen Case 1"/>
      <sheetName val="Annual GWh as-gen Case 2"/>
      <sheetName val="Annual GWh as-gen Case 3"/>
      <sheetName val="Annual GWh as-gen Case 4"/>
      <sheetName val="Annual GWh as-gen Case 5"/>
      <sheetName val="Annual GWh as-gen Case 6"/>
      <sheetName val="NPV Case 1"/>
      <sheetName val="NPV Case 2"/>
      <sheetName val="NPV Case 3"/>
      <sheetName val="NPV Case 4"/>
      <sheetName val="NPV Case 5"/>
      <sheetName val="NPV Case 6"/>
      <sheetName val="NPV compare #1#"/>
      <sheetName val="NPV compare #2#"/>
      <sheetName val="NPV compare #3#"/>
      <sheetName val="NPV compare #4#"/>
      <sheetName val="NPV compare #5#"/>
      <sheetName val="Annual region NPV Case 1"/>
      <sheetName val="Annual region NPV Case 2"/>
      <sheetName val="Annual region NPV Case 3"/>
      <sheetName val="Annual region NPV Case 4"/>
      <sheetName val="Annual region NPV Case 5"/>
      <sheetName val="Annual region NPV Case 6"/>
      <sheetName val="Annual region NPV compare #1#"/>
      <sheetName val="Annual region NPV compare #2#"/>
      <sheetName val="Annual region NPV compare #3#"/>
      <sheetName val="Annual region NPV compare #4#"/>
      <sheetName val="Annual region NPV compare #5#"/>
      <sheetName val="Region NPV yearly Case 1"/>
      <sheetName val="Region NPV yearly Case 2"/>
      <sheetName val="Region NPV yearly Case 3"/>
      <sheetName val="Region NPV yearly Case 4"/>
      <sheetName val="Region NPV yearly Case 5"/>
      <sheetName val="Region NPV yearly Case 6"/>
      <sheetName val="Region NPV yearly compare #1#"/>
      <sheetName val="Region NPV yearly compare #2#"/>
      <sheetName val="Region NPV yearly compare #3#"/>
      <sheetName val="Region NPV yearly compare #4#"/>
      <sheetName val="Region NPV yearly compare #5#"/>
      <sheetName val="Annual tech NPV Case 1"/>
      <sheetName val="Annual tech NPV Case 2"/>
      <sheetName val="Annual tech NPV Case 3"/>
      <sheetName val="Annual tech NPV Case 4"/>
      <sheetName val="Annual tech NPV Case 5"/>
      <sheetName val="Annual tech NPV Case 6"/>
      <sheetName val="Annual tech NPV compare #1#"/>
      <sheetName val="Annual tech NPV compare #2#"/>
      <sheetName val="Annual tech NPV compare #3#"/>
      <sheetName val="Annual tech NPV compare #4#"/>
      <sheetName val="Annual tech NPV compare #5#"/>
      <sheetName val="Tech NPV yearly Case 1"/>
      <sheetName val="Tech NPV yearly Case 2"/>
      <sheetName val="Tech NPV yearly Case 3"/>
      <sheetName val="Tech NPV yearly Case 4"/>
      <sheetName val="Tech NPV yearly Case 5"/>
      <sheetName val="Tech NPV yearly Case 6"/>
      <sheetName val="Tech NPV yearly compare #1#"/>
      <sheetName val="Tech NPV yearly compare #2#"/>
      <sheetName val="Tech NPV yearly compare #3#"/>
      <sheetName val="Tech NPV yearly compare #4#"/>
      <sheetName val="Tech NPV yearly compare #5#"/>
      <sheetName val="Gen as-generated Case 1"/>
      <sheetName val="Gen as-generated Case 2"/>
      <sheetName val="Gen as-generated Case 3"/>
      <sheetName val="Gen as-generated Case 4"/>
      <sheetName val="Gen as-generated Case 5"/>
      <sheetName val="Gen as-generated Case 6"/>
      <sheetName val="Gen as-generated compare #1#"/>
      <sheetName val="Gen as-generated compare #2#"/>
      <sheetName val="Gen as-generated compare #3#"/>
      <sheetName val="Gen as-generated compare #4#"/>
      <sheetName val="Gen as-generated compare #5#"/>
      <sheetName val="Gen - Node-REZ Case 1"/>
      <sheetName val="Gen - Node-REZ Case 2"/>
      <sheetName val="Gen - Node-REZ Case 3"/>
      <sheetName val="Gen - Node-REZ Case 4"/>
      <sheetName val="Gen - Node-REZ Case 5"/>
      <sheetName val="Gen - Node-REZ Case 6"/>
      <sheetName val="Gen - Node-REZ compare #1#"/>
      <sheetName val="Gen - Node-REZ compare #2#"/>
      <sheetName val="Gen - Node-REZ compare #3#"/>
      <sheetName val="Gen - Node-REZ compare #4#"/>
      <sheetName val="Gen - Node-REZ compare #5#"/>
      <sheetName val="NEM capacity Case 1"/>
      <sheetName val="NEM capacity Case 2"/>
      <sheetName val="NEM capacity Case 3"/>
      <sheetName val="NEM capacity Case 4"/>
      <sheetName val="NEM capacity Case 5"/>
      <sheetName val="NEM capacity Case 6"/>
      <sheetName val="NEM capacity compare #1#"/>
      <sheetName val="NEM capacity compare #2#"/>
      <sheetName val="NEM capacity compare #3#"/>
      <sheetName val="NEM capacity compare #4#"/>
      <sheetName val="NEM capacity compare #5#"/>
      <sheetName val="Node-REZ capacity Case 1"/>
      <sheetName val="Node-REZ capacity Case 2"/>
      <sheetName val="Node-REZ capacity Case 3"/>
      <sheetName val="Node-REZ capacity Case 4"/>
      <sheetName val="Node-REZ capacity Case 5"/>
      <sheetName val="Node-REZ capacity Case 6"/>
      <sheetName val="Node-REZ capacity compare #1#"/>
      <sheetName val="Node-REZ capacity compare #2#"/>
      <sheetName val="Node-REZ capacity compare #3#"/>
      <sheetName val="Node-REZ capacity compare #4#"/>
      <sheetName val="Node-REZ capacity compare #5#"/>
      <sheetName val="Auto capacity Case 1"/>
      <sheetName val="Auto capacity Case 2"/>
      <sheetName val="Auto capacity Case 3"/>
      <sheetName val="Auto capacity Case 4"/>
      <sheetName val="Auto capacity Case 5"/>
      <sheetName val="Auto capacity Case 6"/>
      <sheetName val="Auto capacity compare #1#"/>
      <sheetName val="Auto capacity compare #2#"/>
      <sheetName val="Auto capacity compare #3#"/>
      <sheetName val="Auto capacity compare #4#"/>
      <sheetName val="Auto capacity compare #5#"/>
      <sheetName val="Auto REZ overview Case 1"/>
      <sheetName val="Auto REZ overview Case 2"/>
      <sheetName val="Auto REZ overview Case 3"/>
      <sheetName val="Auto REZ overview Case 4"/>
      <sheetName val="Auto REZ overview Case 5"/>
      <sheetName val="Auto REZ overview Case 6"/>
      <sheetName val="Auto REZ overview compare #1#"/>
      <sheetName val="Auto REZ overview compare #2#"/>
      <sheetName val="Auto REZ overview compare #3#"/>
      <sheetName val="Auto REZ overview compare #4#"/>
      <sheetName val="Auto REZ overview compare #5#"/>
      <sheetName val="Proxy price Case 1"/>
      <sheetName val="Proxy price Case 2"/>
      <sheetName val="Proxy price Case 3"/>
      <sheetName val="Proxy price Case 4"/>
      <sheetName val="Proxy price Case 5"/>
      <sheetName val="Proxy price Case 6"/>
      <sheetName val="Proxy price compare #1#"/>
      <sheetName val="Proxy price compare #2#"/>
      <sheetName val="Proxy price compare #3#"/>
      <sheetName val="Proxy price compare #4#"/>
      <sheetName val="Proxy price compare #5#"/>
      <sheetName val="Proxy price hourly Case 1"/>
      <sheetName val="Proxy price hourly Case 2"/>
      <sheetName val="Proxy price hourly Case 3"/>
      <sheetName val="Proxy price hourly Case 4"/>
      <sheetName val="Proxy price hourly Case 5"/>
      <sheetName val="Proxy price hourly Case 6"/>
      <sheetName val="Proxy price hourly compare #1#"/>
      <sheetName val="Proxy price hourly compare #2#"/>
      <sheetName val="Proxy price hourly compare #3#"/>
      <sheetName val="Proxy price hourly compare #4#"/>
      <sheetName val="Proxy price hourly compare #5#"/>
      <sheetName val="Energy flow Case 1"/>
      <sheetName val="Energy flow Case 2"/>
      <sheetName val="Energy flow Case 3"/>
      <sheetName val="Energy flow Case 4"/>
      <sheetName val="Energy flow Case 5"/>
      <sheetName val="Energy flow Case 6"/>
      <sheetName val="Energy flow compare #1#"/>
      <sheetName val="Energy flow compare #2#"/>
      <sheetName val="Energy flow compare #3#"/>
      <sheetName val="Energy flow compare #4#"/>
      <sheetName val="Energy flow compare #5#"/>
      <sheetName val="USE Case 1"/>
      <sheetName val="USE Case 2"/>
      <sheetName val="USE Case 3"/>
      <sheetName val="USE Case 4"/>
      <sheetName val="USE Case 5"/>
      <sheetName val="USE Case 6"/>
      <sheetName val="USE compare #1#"/>
      <sheetName val="USE compare #2#"/>
      <sheetName val="USE compare #3#"/>
      <sheetName val="USE compare #4#"/>
      <sheetName val="USE compare #5#"/>
      <sheetName val="Emissions Case 1"/>
      <sheetName val="Emissions Case 2"/>
      <sheetName val="Emissions Case 3"/>
      <sheetName val="Emissions Case 4"/>
      <sheetName val="Emissions Case 5"/>
      <sheetName val="Emissions Case 6"/>
      <sheetName val="Emissions compare #1#"/>
      <sheetName val="Emissions compare #2#"/>
      <sheetName val="Emissions compare #3#"/>
      <sheetName val="Emissions compare #4#"/>
      <sheetName val="Emissions compare #5#"/>
      <sheetName val="NSW to QLD Case 1"/>
      <sheetName val="NSW to QLD Case 2"/>
      <sheetName val="NSW to QLD Case 3"/>
      <sheetName val="NSW to QLD Case 4"/>
      <sheetName val="NSW to QLD Case 5"/>
      <sheetName val="NSW to QLD Case 6"/>
      <sheetName val="VIC to NSW Case 1"/>
      <sheetName val="VIC to NSW Case 2"/>
      <sheetName val="VIC to NSW Case 3"/>
      <sheetName val="VIC to NSW Case 4"/>
      <sheetName val="VIC to NSW Case 5"/>
      <sheetName val="VIC to NSW Case 6"/>
      <sheetName val="VIC to SA Case 1"/>
      <sheetName val="VIC to SA Case 2"/>
      <sheetName val="VIC to SA Case 3"/>
      <sheetName val="VIC to SA Case 4"/>
      <sheetName val="VIC to SA Case 5"/>
      <sheetName val="VIC to SA Case 6"/>
      <sheetName val="NSW to SA Case 1"/>
      <sheetName val="NSW to SA Case 2"/>
      <sheetName val="NSW to SA Case 3"/>
      <sheetName val="NSW to SA Case 4"/>
      <sheetName val="NSW to SA Case 5"/>
      <sheetName val="NSW to SA Case 6"/>
      <sheetName val="TAS to VIC Case 1"/>
      <sheetName val="TAS to VIC Case 2"/>
      <sheetName val="TAS to VIC Case 3"/>
      <sheetName val="TAS to VIC Case 4"/>
      <sheetName val="TAS to VIC Case 5"/>
      <sheetName val="TAS to VIC Case 6"/>
      <sheetName val="1_DBCapacity"/>
      <sheetName val="1_RetirmentWindow"/>
      <sheetName val="1_UnitAndNECapacity"/>
      <sheetName val="1_AnnualGenerationAG"/>
      <sheetName val="1_AnnualGenerationSO"/>
      <sheetName val="1_AnnualGeneration"/>
      <sheetName val="1_AnnualCapacity"/>
      <sheetName val="1_DurationData"/>
      <sheetName val="1_TODLink"/>
      <sheetName val="1_AnnualLink"/>
      <sheetName val="1_AnnualNodeSummary"/>
      <sheetName val="1_TODNodeSummary"/>
      <sheetName val="1_DemandSummary"/>
      <sheetName val="1_AnnualDemandMax"/>
      <sheetName val="1_NPVall"/>
      <sheetName val="1_Emissions"/>
      <sheetName val="1_BuildLimits"/>
      <sheetName val="1_CF"/>
      <sheetName val="2_DBCapacity"/>
      <sheetName val="3_DBCapacity"/>
      <sheetName val="4_DBCapacity"/>
      <sheetName val="5_DBCapacity"/>
      <sheetName val="6_DBCapacity"/>
      <sheetName val="2_RetirmentWindow"/>
      <sheetName val="3_RetirmentWindow"/>
      <sheetName val="4_RetirmentWindow"/>
      <sheetName val="5_RetirmentWindow"/>
      <sheetName val="6_RetirmentWindow"/>
      <sheetName val="2_UnitAndNECapacity"/>
      <sheetName val="3_UnitAndNECapacity"/>
      <sheetName val="4_UnitAndNECapacity"/>
      <sheetName val="5_UnitAndNECapacity"/>
      <sheetName val="6_UnitAndNECapacity"/>
      <sheetName val="2_AnnualGenerationAG"/>
      <sheetName val="3_AnnualGenerationAG"/>
      <sheetName val="4_AnnualGenerationAG"/>
      <sheetName val="5_AnnualGenerationAG"/>
      <sheetName val="6_AnnualGenerationAG"/>
      <sheetName val="2_AnnualGenerationSO"/>
      <sheetName val="3_AnnualGenerationSO"/>
      <sheetName val="4_AnnualGenerationSO"/>
      <sheetName val="5_AnnualGenerationSO"/>
      <sheetName val="6_AnnualGenerationSO"/>
      <sheetName val="2_AnnualGeneration"/>
      <sheetName val="3_AnnualGeneration"/>
      <sheetName val="4_AnnualGeneration"/>
      <sheetName val="5_AnnualGeneration"/>
      <sheetName val="6_AnnualGeneration"/>
      <sheetName val="2_AnnualCapacity"/>
      <sheetName val="3_AnnualCapacity"/>
      <sheetName val="4_AnnualCapacity"/>
      <sheetName val="5_AnnualCapacity"/>
      <sheetName val="6_AnnualCapacity"/>
      <sheetName val="2_DurationData"/>
      <sheetName val="3_DurationData"/>
      <sheetName val="4_DurationData"/>
      <sheetName val="5_DurationData"/>
      <sheetName val="6_DurationData"/>
      <sheetName val="2_TODLink"/>
      <sheetName val="3_TODLink"/>
      <sheetName val="4_TODLink"/>
      <sheetName val="5_TODLink"/>
      <sheetName val="6_TODLink"/>
      <sheetName val="2_AnnualLink"/>
      <sheetName val="3_AnnualLink"/>
      <sheetName val="4_AnnualLink"/>
      <sheetName val="5_AnnualLink"/>
      <sheetName val="6_AnnualLink"/>
      <sheetName val="2_AnnualNodeSummary"/>
      <sheetName val="3_AnnualNodeSummary"/>
      <sheetName val="4_AnnualNodeSummary"/>
      <sheetName val="5_AnnualNodeSummary"/>
      <sheetName val="6_AnnualNodeSummary"/>
      <sheetName val="2_TODNodeSummary"/>
      <sheetName val="3_TODNodeSummary"/>
      <sheetName val="4_TODNodeSummary"/>
      <sheetName val="5_TODNodeSummary"/>
      <sheetName val="6_TODNodeSummary"/>
      <sheetName val="2_DemandSummary"/>
      <sheetName val="3_DemandSummary"/>
      <sheetName val="4_DemandSummary"/>
      <sheetName val="5_DemandSummary"/>
      <sheetName val="6_DemandSummary"/>
      <sheetName val="2_AnnualDemandMax"/>
      <sheetName val="3_AnnualDemandMax"/>
      <sheetName val="4_AnnualDemandMax"/>
      <sheetName val="5_AnnualDemandMax"/>
      <sheetName val="6_AnnualDemandMax"/>
      <sheetName val="2_NPVall"/>
      <sheetName val="3_NPVall"/>
      <sheetName val="4_NPVall"/>
      <sheetName val="5_NPVall"/>
      <sheetName val="6_NPVall"/>
      <sheetName val="2_Emissions"/>
      <sheetName val="3_Emissions"/>
      <sheetName val="4_Emissions"/>
      <sheetName val="5_Emissions"/>
      <sheetName val="6_Emissions"/>
      <sheetName val="2_BuildLimits"/>
      <sheetName val="3_BuildLimits"/>
      <sheetName val="4_BuildLimits"/>
      <sheetName val="5_BuildLimits"/>
      <sheetName val="6_BuildLimits"/>
      <sheetName val="2_CF"/>
      <sheetName val="3_CF"/>
      <sheetName val="4_CF"/>
      <sheetName val="5_CF"/>
      <sheetName val="6_CF"/>
    </sheetNames>
    <sheetDataSet>
      <sheetData sheetId="0" refreshError="1"/>
      <sheetData sheetId="1" refreshError="1">
        <row r="27">
          <cell r="B27">
            <v>2021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zoomScaleNormal="100" workbookViewId="0"/>
  </sheetViews>
  <sheetFormatPr defaultColWidth="0" defaultRowHeight="15" zeroHeight="1" x14ac:dyDescent="0.25"/>
  <cols>
    <col min="1" max="1" width="1.7109375" customWidth="1"/>
    <col min="2" max="2" width="50.140625" customWidth="1"/>
    <col min="3" max="3" width="16.85546875" customWidth="1"/>
    <col min="4" max="4" width="49.5703125" customWidth="1"/>
    <col min="5" max="5" width="10.28515625" customWidth="1"/>
    <col min="6" max="6" width="9.140625" style="79" customWidth="1"/>
    <col min="7" max="8" width="0" hidden="1" customWidth="1"/>
    <col min="9" max="16384" width="9.140625" hidden="1"/>
  </cols>
  <sheetData>
    <row r="1" spans="1:8" ht="25.5" customHeight="1" x14ac:dyDescent="0.35">
      <c r="A1" s="103"/>
      <c r="B1" s="104" t="s">
        <v>164</v>
      </c>
      <c r="C1" s="103"/>
      <c r="D1" s="103"/>
      <c r="E1" s="103"/>
      <c r="F1" s="103"/>
      <c r="G1" s="7"/>
      <c r="H1" s="7"/>
    </row>
    <row r="2" spans="1:8" ht="22.5" customHeight="1" x14ac:dyDescent="0.25">
      <c r="B2" s="132" t="s">
        <v>181</v>
      </c>
      <c r="C2" s="115"/>
      <c r="D2" s="115"/>
      <c r="E2" s="79"/>
    </row>
    <row r="3" spans="1:8" ht="18" customHeight="1" x14ac:dyDescent="0.25">
      <c r="A3" s="79"/>
      <c r="B3" s="133" t="s">
        <v>184</v>
      </c>
      <c r="C3" s="115"/>
      <c r="D3" s="115"/>
      <c r="E3" s="79"/>
    </row>
    <row r="4" spans="1:8" ht="29.25" customHeight="1" thickBot="1" x14ac:dyDescent="0.3">
      <c r="A4" s="79"/>
      <c r="B4" s="130" t="s">
        <v>73</v>
      </c>
      <c r="C4" s="131"/>
      <c r="D4" s="79"/>
      <c r="E4" s="79"/>
    </row>
    <row r="5" spans="1:8" x14ac:dyDescent="0.25">
      <c r="A5" s="79"/>
      <c r="B5" s="3" t="s">
        <v>32</v>
      </c>
      <c r="C5" s="79"/>
      <c r="D5" s="3" t="s">
        <v>1</v>
      </c>
      <c r="E5" s="79"/>
    </row>
    <row r="6" spans="1:8" x14ac:dyDescent="0.25">
      <c r="A6" s="79"/>
      <c r="B6" s="98" t="s">
        <v>108</v>
      </c>
      <c r="C6" s="79"/>
      <c r="D6" s="98" t="s">
        <v>92</v>
      </c>
      <c r="E6" s="79"/>
    </row>
    <row r="7" spans="1:8" x14ac:dyDescent="0.25">
      <c r="A7" s="79"/>
      <c r="B7" s="98" t="s">
        <v>107</v>
      </c>
      <c r="C7" s="79"/>
      <c r="D7" s="98" t="s">
        <v>93</v>
      </c>
      <c r="E7" s="79"/>
    </row>
    <row r="8" spans="1:8" x14ac:dyDescent="0.25">
      <c r="A8" s="79"/>
      <c r="B8" s="98" t="s">
        <v>109</v>
      </c>
      <c r="C8" s="79"/>
      <c r="D8" s="98" t="s">
        <v>94</v>
      </c>
      <c r="E8" s="79"/>
    </row>
    <row r="9" spans="1:8" ht="15.75" thickBot="1" x14ac:dyDescent="0.3">
      <c r="A9" s="79"/>
      <c r="B9" s="99" t="s">
        <v>110</v>
      </c>
      <c r="C9" s="79"/>
      <c r="D9" s="98" t="s">
        <v>95</v>
      </c>
      <c r="E9" s="79"/>
    </row>
    <row r="10" spans="1:8" ht="15.75" thickBot="1" x14ac:dyDescent="0.3">
      <c r="A10" s="79"/>
      <c r="B10" s="79"/>
      <c r="C10" s="79"/>
      <c r="D10" s="99" t="s">
        <v>96</v>
      </c>
      <c r="E10" s="79"/>
    </row>
    <row r="11" spans="1:8" ht="15.75" thickBot="1" x14ac:dyDescent="0.3">
      <c r="A11" s="80"/>
      <c r="B11" s="101"/>
      <c r="C11" s="80"/>
      <c r="D11" s="80"/>
      <c r="E11" s="80"/>
      <c r="F11" s="80"/>
    </row>
    <row r="12" spans="1:8" ht="20.25" customHeight="1" thickBot="1" x14ac:dyDescent="0.3">
      <c r="A12" s="79"/>
      <c r="B12" s="124" t="s">
        <v>48</v>
      </c>
      <c r="C12" s="79"/>
      <c r="D12" s="79" t="s">
        <v>103</v>
      </c>
      <c r="E12" s="79"/>
    </row>
    <row r="13" spans="1:8" ht="15.75" thickBot="1" x14ac:dyDescent="0.3">
      <c r="A13" s="79"/>
      <c r="B13" s="102" t="s">
        <v>97</v>
      </c>
      <c r="C13" s="100">
        <v>4.8000000000000001E-2</v>
      </c>
      <c r="D13" s="79" t="s">
        <v>78</v>
      </c>
      <c r="E13" s="79"/>
    </row>
    <row r="14" spans="1:8" ht="15.75" thickBot="1" x14ac:dyDescent="0.3">
      <c r="A14" s="79"/>
      <c r="B14" s="102" t="s">
        <v>104</v>
      </c>
      <c r="C14" s="100">
        <v>3.7999999999999999E-2</v>
      </c>
      <c r="D14" s="79" t="s">
        <v>77</v>
      </c>
      <c r="E14" s="79"/>
    </row>
    <row r="15" spans="1:8" x14ac:dyDescent="0.25">
      <c r="A15" s="79"/>
      <c r="B15" s="79"/>
      <c r="C15" s="79"/>
      <c r="D15" s="79" t="s">
        <v>75</v>
      </c>
      <c r="E15" s="79"/>
    </row>
    <row r="16" spans="1:8" ht="4.5" customHeight="1" thickBot="1" x14ac:dyDescent="0.3">
      <c r="A16" s="80"/>
      <c r="B16" s="80"/>
      <c r="C16" s="80"/>
      <c r="D16" s="80"/>
      <c r="E16" s="80"/>
      <c r="F16" s="80"/>
    </row>
    <row r="17" spans="1:5" ht="15.75" x14ac:dyDescent="0.25">
      <c r="A17" s="79"/>
      <c r="B17" s="111" t="s">
        <v>74</v>
      </c>
      <c r="C17" s="79"/>
      <c r="D17" s="79"/>
      <c r="E17" s="79"/>
    </row>
    <row r="18" spans="1:5" ht="3" customHeight="1" thickBot="1" x14ac:dyDescent="0.3">
      <c r="A18" s="79"/>
      <c r="B18" s="111"/>
      <c r="C18" s="79"/>
      <c r="D18" s="79"/>
      <c r="E18" s="79"/>
    </row>
    <row r="19" spans="1:5" ht="22.5" customHeight="1" thickBot="1" x14ac:dyDescent="0.3">
      <c r="A19" s="79"/>
      <c r="B19" s="119" t="s">
        <v>79</v>
      </c>
      <c r="C19" s="120" t="s">
        <v>80</v>
      </c>
      <c r="D19" s="79"/>
      <c r="E19" s="79"/>
    </row>
    <row r="20" spans="1:5" ht="30.75" customHeight="1" x14ac:dyDescent="0.25">
      <c r="A20" s="79"/>
      <c r="B20" s="121" t="s">
        <v>82</v>
      </c>
      <c r="C20" s="117" t="s">
        <v>71</v>
      </c>
      <c r="D20" s="79"/>
      <c r="E20" s="79"/>
    </row>
    <row r="21" spans="1:5" ht="20.100000000000001" customHeight="1" x14ac:dyDescent="0.25">
      <c r="A21" s="79"/>
      <c r="B21" s="244" t="s">
        <v>81</v>
      </c>
      <c r="C21" s="247" t="s">
        <v>185</v>
      </c>
      <c r="D21" s="79"/>
      <c r="E21" s="79"/>
    </row>
    <row r="22" spans="1:5" ht="20.100000000000001" customHeight="1" x14ac:dyDescent="0.25">
      <c r="A22" s="79"/>
      <c r="B22" s="245" t="s">
        <v>89</v>
      </c>
      <c r="C22" s="248"/>
      <c r="D22" s="79"/>
      <c r="E22" s="79"/>
    </row>
    <row r="23" spans="1:5" ht="20.100000000000001" customHeight="1" x14ac:dyDescent="0.25">
      <c r="A23" s="79"/>
      <c r="B23" s="122" t="s">
        <v>90</v>
      </c>
      <c r="C23" s="116" t="s">
        <v>40</v>
      </c>
      <c r="D23" s="79"/>
      <c r="E23" s="79"/>
    </row>
    <row r="24" spans="1:5" ht="29.25" customHeight="1" x14ac:dyDescent="0.25">
      <c r="A24" s="79"/>
      <c r="B24" s="123" t="s">
        <v>91</v>
      </c>
      <c r="C24" s="118" t="s">
        <v>83</v>
      </c>
      <c r="D24" s="79"/>
      <c r="E24" s="79"/>
    </row>
    <row r="25" spans="1:5" ht="18.75" customHeight="1" x14ac:dyDescent="0.25">
      <c r="A25" s="79"/>
      <c r="B25" s="185"/>
      <c r="C25" s="129" t="s">
        <v>84</v>
      </c>
      <c r="D25" s="79"/>
      <c r="E25" s="79"/>
    </row>
    <row r="26" spans="1:5" ht="15" customHeight="1" x14ac:dyDescent="0.25">
      <c r="A26" s="79"/>
      <c r="B26" s="127" t="s">
        <v>180</v>
      </c>
      <c r="C26" s="126" t="s">
        <v>85</v>
      </c>
      <c r="D26" s="79"/>
      <c r="E26" s="79"/>
    </row>
    <row r="27" spans="1:5" ht="15" customHeight="1" x14ac:dyDescent="0.25">
      <c r="A27" s="79"/>
      <c r="B27" s="142" t="s">
        <v>88</v>
      </c>
      <c r="C27" s="126" t="s">
        <v>86</v>
      </c>
      <c r="D27" s="79"/>
      <c r="E27" s="79"/>
    </row>
    <row r="28" spans="1:5" ht="15" customHeight="1" x14ac:dyDescent="0.25">
      <c r="A28" s="79"/>
      <c r="B28" s="127"/>
      <c r="C28" s="126" t="s">
        <v>87</v>
      </c>
      <c r="D28" s="79"/>
      <c r="E28" s="79"/>
    </row>
    <row r="29" spans="1:5" ht="15" customHeight="1" thickBot="1" x14ac:dyDescent="0.3">
      <c r="A29" s="79"/>
      <c r="B29" s="128"/>
      <c r="C29" s="141"/>
      <c r="D29" s="79"/>
      <c r="E29" s="79"/>
    </row>
    <row r="30" spans="1:5" s="79" customFormat="1" x14ac:dyDescent="0.25"/>
    <row r="31" spans="1:5" s="79" customFormat="1" x14ac:dyDescent="0.25"/>
    <row r="32" spans="1:5" s="79" customFormat="1" x14ac:dyDescent="0.25"/>
    <row r="33" s="79" customFormat="1" x14ac:dyDescent="0.25"/>
    <row r="34" s="79" customFormat="1" x14ac:dyDescent="0.25"/>
    <row r="35" s="79" customFormat="1" x14ac:dyDescent="0.25"/>
    <row r="36" s="79" customFormat="1" x14ac:dyDescent="0.25"/>
    <row r="37" s="79" customFormat="1" x14ac:dyDescent="0.25"/>
    <row r="38" s="79" customFormat="1" x14ac:dyDescent="0.25"/>
    <row r="39" s="79" customFormat="1" x14ac:dyDescent="0.25"/>
    <row r="40" s="79" customFormat="1" x14ac:dyDescent="0.25"/>
    <row r="41" s="79" customFormat="1" x14ac:dyDescent="0.25"/>
    <row r="42" s="79" customFormat="1" x14ac:dyDescent="0.25"/>
    <row r="43" s="79" customFormat="1" x14ac:dyDescent="0.25"/>
    <row r="44" s="79" customFormat="1" x14ac:dyDescent="0.25"/>
    <row r="45" s="79" customFormat="1" x14ac:dyDescent="0.25"/>
    <row r="46" s="79" customFormat="1" x14ac:dyDescent="0.25"/>
    <row r="47" s="79" customFormat="1" x14ac:dyDescent="0.25"/>
    <row r="48" s="79" customFormat="1" x14ac:dyDescent="0.25"/>
    <row r="49" s="79" customFormat="1" x14ac:dyDescent="0.25"/>
    <row r="50" s="79" customFormat="1" x14ac:dyDescent="0.25"/>
    <row r="51" s="79" customFormat="1" x14ac:dyDescent="0.25"/>
    <row r="52" s="79" customFormat="1" x14ac:dyDescent="0.25"/>
    <row r="53" s="79" customFormat="1" x14ac:dyDescent="0.25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  <row r="60" s="79" customFormat="1" x14ac:dyDescent="0.25"/>
    <row r="61" s="79" customFormat="1" x14ac:dyDescent="0.25"/>
    <row r="62" s="79" customFormat="1" x14ac:dyDescent="0.25"/>
    <row r="63" s="79" customFormat="1" x14ac:dyDescent="0.25"/>
    <row r="64" s="79" customFormat="1" x14ac:dyDescent="0.25"/>
    <row r="65" s="79" customFormat="1" x14ac:dyDescent="0.25"/>
    <row r="66" s="79" customFormat="1" x14ac:dyDescent="0.25"/>
    <row r="67" s="79" customFormat="1" x14ac:dyDescent="0.25"/>
    <row r="68" s="79" customFormat="1" x14ac:dyDescent="0.25"/>
    <row r="69" s="79" customFormat="1" x14ac:dyDescent="0.25"/>
    <row r="70" s="79" customFormat="1" x14ac:dyDescent="0.25"/>
    <row r="71" s="79" customFormat="1" x14ac:dyDescent="0.25"/>
    <row r="72" s="79" customFormat="1" x14ac:dyDescent="0.25"/>
    <row r="73" s="79" customFormat="1" x14ac:dyDescent="0.25"/>
    <row r="74" s="79" customFormat="1" x14ac:dyDescent="0.25"/>
    <row r="75" s="79" customFormat="1" x14ac:dyDescent="0.25"/>
    <row r="76" s="79" customFormat="1" x14ac:dyDescent="0.25"/>
    <row r="77" s="79" customFormat="1" x14ac:dyDescent="0.25"/>
    <row r="78" s="79" customFormat="1" x14ac:dyDescent="0.25"/>
    <row r="79" s="79" customFormat="1" x14ac:dyDescent="0.25"/>
    <row r="80" s="79" customFormat="1" x14ac:dyDescent="0.25"/>
    <row r="81" s="79" customFormat="1" x14ac:dyDescent="0.25"/>
    <row r="82" s="79" customFormat="1" x14ac:dyDescent="0.25"/>
    <row r="83" s="79" customFormat="1" x14ac:dyDescent="0.25"/>
    <row r="84" s="79" customFormat="1" x14ac:dyDescent="0.25"/>
    <row r="85" s="79" customFormat="1" x14ac:dyDescent="0.25"/>
    <row r="86" s="79" customFormat="1" x14ac:dyDescent="0.25"/>
    <row r="87" s="79" customFormat="1" x14ac:dyDescent="0.25"/>
    <row r="88" s="79" customFormat="1" x14ac:dyDescent="0.25"/>
    <row r="89" s="79" customFormat="1" x14ac:dyDescent="0.25"/>
    <row r="90" s="79" customFormat="1" x14ac:dyDescent="0.25"/>
    <row r="91" s="79" customFormat="1" x14ac:dyDescent="0.25"/>
    <row r="92" s="79" customFormat="1" x14ac:dyDescent="0.25"/>
    <row r="93" s="79" customFormat="1" x14ac:dyDescent="0.25"/>
    <row r="94" s="79" customFormat="1" x14ac:dyDescent="0.25"/>
    <row r="95" s="79" customFormat="1" x14ac:dyDescent="0.25"/>
    <row r="96" s="79" customFormat="1" x14ac:dyDescent="0.25"/>
    <row r="97" s="79" customFormat="1" x14ac:dyDescent="0.25"/>
    <row r="98" s="79" customFormat="1" x14ac:dyDescent="0.25"/>
    <row r="99" s="79" customFormat="1" x14ac:dyDescent="0.25"/>
    <row r="100" s="79" customFormat="1" x14ac:dyDescent="0.25"/>
    <row r="101" s="79" customFormat="1" x14ac:dyDescent="0.25"/>
    <row r="102" s="79" customFormat="1" x14ac:dyDescent="0.25"/>
    <row r="103" s="79" customFormat="1" x14ac:dyDescent="0.25"/>
    <row r="104" s="79" customFormat="1" x14ac:dyDescent="0.25"/>
    <row r="105" s="79" customFormat="1" x14ac:dyDescent="0.25"/>
    <row r="106" s="79" customFormat="1" x14ac:dyDescent="0.25"/>
    <row r="107" s="79" customFormat="1" x14ac:dyDescent="0.25"/>
    <row r="108" s="79" customFormat="1" x14ac:dyDescent="0.25"/>
    <row r="109" s="79" customFormat="1" x14ac:dyDescent="0.25"/>
    <row r="110" s="79" customFormat="1" x14ac:dyDescent="0.25"/>
    <row r="111" s="79" customFormat="1" x14ac:dyDescent="0.25"/>
    <row r="112" s="79" customFormat="1" x14ac:dyDescent="0.25"/>
    <row r="113" s="79" customFormat="1" x14ac:dyDescent="0.25"/>
    <row r="114" s="79" customFormat="1" x14ac:dyDescent="0.25"/>
    <row r="115" s="79" customFormat="1" x14ac:dyDescent="0.25"/>
    <row r="116" s="79" customFormat="1" x14ac:dyDescent="0.25"/>
    <row r="117" s="79" customFormat="1" x14ac:dyDescent="0.25"/>
    <row r="118" s="79" customFormat="1" x14ac:dyDescent="0.25"/>
    <row r="119" s="79" customFormat="1" x14ac:dyDescent="0.25"/>
    <row r="120" s="79" customFormat="1" x14ac:dyDescent="0.25"/>
    <row r="121" s="79" customFormat="1" x14ac:dyDescent="0.25"/>
    <row r="122" s="79" customFormat="1" x14ac:dyDescent="0.25"/>
    <row r="123" s="79" customFormat="1" x14ac:dyDescent="0.25"/>
    <row r="124" s="79" customFormat="1" x14ac:dyDescent="0.25"/>
    <row r="125" s="79" customFormat="1" x14ac:dyDescent="0.25"/>
    <row r="126" s="79" customFormat="1" x14ac:dyDescent="0.25"/>
    <row r="127" s="79" customFormat="1" x14ac:dyDescent="0.25"/>
    <row r="128" s="79" customFormat="1" x14ac:dyDescent="0.25"/>
    <row r="129" s="79" customFormat="1" x14ac:dyDescent="0.25"/>
    <row r="130" s="79" customFormat="1" x14ac:dyDescent="0.25"/>
    <row r="131" s="79" customFormat="1" x14ac:dyDescent="0.25"/>
    <row r="132" s="79" customFormat="1" x14ac:dyDescent="0.25"/>
    <row r="133" s="79" customFormat="1" x14ac:dyDescent="0.25"/>
    <row r="134" s="79" customFormat="1" x14ac:dyDescent="0.25"/>
    <row r="135" s="79" customFormat="1" x14ac:dyDescent="0.25"/>
    <row r="136" s="79" customFormat="1" x14ac:dyDescent="0.25"/>
    <row r="137" s="79" customFormat="1" x14ac:dyDescent="0.25"/>
    <row r="138" s="79" customFormat="1" x14ac:dyDescent="0.25"/>
    <row r="139" s="79" customFormat="1" x14ac:dyDescent="0.25"/>
    <row r="140" s="79" customFormat="1" x14ac:dyDescent="0.25"/>
    <row r="141" s="79" customFormat="1" x14ac:dyDescent="0.25"/>
    <row r="142" s="79" customFormat="1" x14ac:dyDescent="0.25"/>
    <row r="143" s="79" customFormat="1" x14ac:dyDescent="0.25"/>
    <row r="144" s="79" customFormat="1" x14ac:dyDescent="0.25"/>
    <row r="145" s="79" customFormat="1" x14ac:dyDescent="0.25"/>
    <row r="146" s="79" customFormat="1" x14ac:dyDescent="0.25"/>
    <row r="147" s="79" customFormat="1" x14ac:dyDescent="0.25"/>
    <row r="148" s="79" customFormat="1" x14ac:dyDescent="0.25"/>
    <row r="149" s="79" customFormat="1" x14ac:dyDescent="0.25"/>
    <row r="150" s="79" customFormat="1" x14ac:dyDescent="0.25"/>
    <row r="151" s="79" customFormat="1" x14ac:dyDescent="0.25"/>
    <row r="152" s="79" customFormat="1" x14ac:dyDescent="0.25"/>
    <row r="153" s="79" customFormat="1" x14ac:dyDescent="0.25"/>
    <row r="154" s="79" customFormat="1" x14ac:dyDescent="0.25"/>
    <row r="155" s="79" customFormat="1" x14ac:dyDescent="0.25"/>
    <row r="156" s="79" customFormat="1" x14ac:dyDescent="0.25"/>
    <row r="157" s="79" customFormat="1" x14ac:dyDescent="0.25"/>
    <row r="158" s="79" customFormat="1" x14ac:dyDescent="0.25"/>
    <row r="159" s="79" customFormat="1" x14ac:dyDescent="0.25"/>
    <row r="160" s="79" customFormat="1" x14ac:dyDescent="0.25"/>
    <row r="161" s="79" customFormat="1" x14ac:dyDescent="0.25"/>
    <row r="162" s="79" customFormat="1" x14ac:dyDescent="0.25"/>
    <row r="163" s="79" customFormat="1" x14ac:dyDescent="0.25"/>
    <row r="164" s="79" customFormat="1" x14ac:dyDescent="0.25"/>
    <row r="165" s="79" customFormat="1" x14ac:dyDescent="0.25"/>
    <row r="166" s="79" customFormat="1" x14ac:dyDescent="0.25"/>
    <row r="167" s="79" customFormat="1" x14ac:dyDescent="0.25"/>
    <row r="168" s="79" customFormat="1" x14ac:dyDescent="0.25"/>
    <row r="169" s="79" customFormat="1" x14ac:dyDescent="0.25"/>
    <row r="170" s="79" customFormat="1" x14ac:dyDescent="0.25"/>
    <row r="171" s="79" customFormat="1" x14ac:dyDescent="0.25"/>
    <row r="172" s="79" customFormat="1" x14ac:dyDescent="0.25"/>
    <row r="173" s="79" customFormat="1" x14ac:dyDescent="0.25"/>
    <row r="174" s="79" customFormat="1" x14ac:dyDescent="0.25"/>
    <row r="175" s="79" customFormat="1" x14ac:dyDescent="0.25"/>
    <row r="176" s="79" customFormat="1" x14ac:dyDescent="0.25"/>
    <row r="177" s="79" customFormat="1" x14ac:dyDescent="0.25"/>
    <row r="178" s="79" customFormat="1" x14ac:dyDescent="0.25"/>
    <row r="179" s="79" customFormat="1" x14ac:dyDescent="0.25"/>
    <row r="180" s="79" customFormat="1" x14ac:dyDescent="0.25"/>
    <row r="181" s="79" customFormat="1" x14ac:dyDescent="0.25"/>
  </sheetData>
  <mergeCells count="1">
    <mergeCell ref="C21:C22"/>
  </mergeCells>
  <hyperlinks>
    <hyperlink ref="C20" location="Results!A1" display="Results!A1"/>
    <hyperlink ref="C23" location="'FCAS benefits'!A1" display="'FCAS benefits'!A1"/>
    <hyperlink ref="C24" location="'Project costs'!A1" display="'Project costs'!A1"/>
    <hyperlink ref="C25" location="'Option 1'!A1" display="'Option 1'!A1"/>
    <hyperlink ref="C26" location="'Option 2'!A1" display="'Option 2'!A1"/>
    <hyperlink ref="C27" location="'Option 3'!A1" display="'Option 3'!A1"/>
    <hyperlink ref="C28" location="'Option 4'!A1" display="'Option 4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zoomScale="90" zoomScaleNormal="90" workbookViewId="0"/>
  </sheetViews>
  <sheetFormatPr defaultColWidth="0" defaultRowHeight="15" zeroHeight="1" x14ac:dyDescent="0.25"/>
  <cols>
    <col min="1" max="1" width="1.7109375" customWidth="1"/>
    <col min="2" max="2" width="44.5703125" customWidth="1"/>
    <col min="3" max="9" width="16" customWidth="1"/>
    <col min="10" max="10" width="9.140625" style="79" customWidth="1"/>
    <col min="11" max="16" width="0" hidden="1" customWidth="1"/>
    <col min="17" max="16384" width="9.140625" hidden="1"/>
  </cols>
  <sheetData>
    <row r="1" spans="1:16" ht="26.25" x14ac:dyDescent="0.4">
      <c r="A1" s="103"/>
      <c r="B1" s="110" t="s">
        <v>167</v>
      </c>
      <c r="C1" s="103"/>
      <c r="D1" s="103"/>
      <c r="E1" s="103"/>
      <c r="F1" s="103"/>
      <c r="G1" s="103"/>
      <c r="H1" s="103"/>
      <c r="I1" s="103"/>
      <c r="J1" s="103"/>
      <c r="K1" s="112"/>
      <c r="L1" s="112"/>
      <c r="M1" s="112"/>
      <c r="N1" s="112"/>
      <c r="O1" s="112"/>
      <c r="P1" s="112"/>
    </row>
    <row r="2" spans="1:16" ht="16.5" customHeight="1" x14ac:dyDescent="0.25">
      <c r="A2" s="79"/>
      <c r="B2" s="79" t="s">
        <v>184</v>
      </c>
      <c r="C2" s="79"/>
      <c r="D2" s="79"/>
      <c r="E2" s="79"/>
      <c r="F2" s="79"/>
      <c r="G2" s="79"/>
      <c r="H2" s="79"/>
      <c r="I2" s="79"/>
    </row>
    <row r="3" spans="1:16" x14ac:dyDescent="0.25">
      <c r="A3" s="79"/>
      <c r="B3" s="113"/>
      <c r="C3" s="79"/>
      <c r="D3" s="79"/>
      <c r="E3" s="79"/>
      <c r="F3" s="79"/>
      <c r="G3" s="79"/>
      <c r="H3" s="79"/>
      <c r="I3" s="79"/>
    </row>
    <row r="4" spans="1:16" x14ac:dyDescent="0.25">
      <c r="A4" s="79"/>
      <c r="B4" s="113"/>
      <c r="C4" s="79"/>
      <c r="D4" s="79"/>
      <c r="E4" s="79"/>
      <c r="F4" s="79"/>
      <c r="G4" s="79"/>
      <c r="H4" s="79"/>
      <c r="I4" s="79"/>
    </row>
    <row r="5" spans="1:16" ht="20.25" customHeight="1" x14ac:dyDescent="0.35">
      <c r="A5" s="79"/>
      <c r="B5" s="88" t="s">
        <v>76</v>
      </c>
      <c r="C5" s="79"/>
      <c r="D5" s="79"/>
      <c r="E5" s="79"/>
      <c r="F5" s="79"/>
      <c r="G5" s="79"/>
      <c r="H5" s="79"/>
      <c r="I5" s="79"/>
    </row>
    <row r="6" spans="1:16" ht="15.75" thickBot="1" x14ac:dyDescent="0.3">
      <c r="A6" s="79"/>
      <c r="B6" s="79"/>
      <c r="C6" s="79"/>
      <c r="D6" s="79"/>
      <c r="E6" s="79"/>
      <c r="F6" s="79"/>
      <c r="G6" s="79"/>
      <c r="H6" s="79"/>
      <c r="I6" s="79"/>
    </row>
    <row r="7" spans="1:16" ht="21" customHeight="1" x14ac:dyDescent="0.25">
      <c r="A7" s="79"/>
      <c r="B7" s="67"/>
      <c r="C7" s="144" t="s">
        <v>98</v>
      </c>
      <c r="D7" s="145"/>
      <c r="E7" s="145"/>
      <c r="F7" s="145"/>
      <c r="G7" s="146"/>
      <c r="H7" s="146" t="s">
        <v>99</v>
      </c>
      <c r="I7" s="146"/>
    </row>
    <row r="8" spans="1:16" ht="46.5" customHeight="1" x14ac:dyDescent="0.25">
      <c r="A8" s="79"/>
      <c r="B8" s="69" t="s">
        <v>32</v>
      </c>
      <c r="C8" s="70" t="str">
        <f>+Overview!D6</f>
        <v xml:space="preserve">Slow Change </v>
      </c>
      <c r="D8" s="138" t="str">
        <f>+Overview!D7</f>
        <v>Central</v>
      </c>
      <c r="E8" s="138" t="str">
        <f>+Overview!D8</f>
        <v>High DER</v>
      </c>
      <c r="F8" s="138" t="str">
        <f>+Overview!D9</f>
        <v xml:space="preserve">Fast Change </v>
      </c>
      <c r="G8" s="139" t="str">
        <f>+Overview!D10</f>
        <v>Step Change</v>
      </c>
      <c r="H8" s="139" t="s">
        <v>100</v>
      </c>
      <c r="I8" s="139" t="s">
        <v>145</v>
      </c>
    </row>
    <row r="9" spans="1:16" ht="27.95" customHeight="1" x14ac:dyDescent="0.25">
      <c r="A9" s="79"/>
      <c r="B9" s="76" t="str">
        <f>+Overview!B6</f>
        <v xml:space="preserve">Option 1:  600 MW in 2027 </v>
      </c>
      <c r="C9" s="148">
        <f>+'Option 1'!B19</f>
        <v>1028.4370018347522</v>
      </c>
      <c r="D9" s="149">
        <f>+'Option 1'!B34</f>
        <v>1056.2785293345169</v>
      </c>
      <c r="E9" s="149">
        <f>+'Option 1'!B49</f>
        <v>1052.8335896901331</v>
      </c>
      <c r="F9" s="149">
        <f>+'Option 1'!B64</f>
        <v>1200.3600099656969</v>
      </c>
      <c r="G9" s="147">
        <f>+'Option 1'!B79</f>
        <v>2331.9448407840732</v>
      </c>
      <c r="H9" s="147">
        <f>AVERAGE(C9:G9)</f>
        <v>1333.9707943218345</v>
      </c>
      <c r="I9" s="147">
        <f>+D9*0.666666666666667+G9*0.333333333333333</f>
        <v>1481.5006331510351</v>
      </c>
    </row>
    <row r="10" spans="1:16" ht="27.95" customHeight="1" x14ac:dyDescent="0.25">
      <c r="A10" s="79"/>
      <c r="B10" s="76" t="str">
        <f>+Overview!B7</f>
        <v>Option 2:  750 MW in 2027</v>
      </c>
      <c r="C10" s="150">
        <f>+'Option 2'!B19</f>
        <v>1461.21679619885</v>
      </c>
      <c r="D10" s="143">
        <f>+'Option 2'!B34</f>
        <v>1367.0272751642515</v>
      </c>
      <c r="E10" s="143">
        <f>+'Option 2'!B49</f>
        <v>1366.8369247872583</v>
      </c>
      <c r="F10" s="143">
        <f>+'Option 2'!B64</f>
        <v>1530.3068231262446</v>
      </c>
      <c r="G10" s="151">
        <f>+'Option 2'!B79</f>
        <v>2869.5401399009702</v>
      </c>
      <c r="H10" s="151">
        <f t="shared" ref="H10:H12" si="0">AVERAGE(C10:G10)</f>
        <v>1718.9855918355147</v>
      </c>
      <c r="I10" s="151">
        <f t="shared" ref="I10:I12" si="1">+D10*0.666666666666667+G10*0.333333333333333</f>
        <v>1867.8648967431573</v>
      </c>
    </row>
    <row r="11" spans="1:16" ht="27.95" customHeight="1" x14ac:dyDescent="0.25">
      <c r="A11" s="79"/>
      <c r="B11" s="76" t="str">
        <f>+Overview!B8</f>
        <v>Option 3:  600 MW in 2027 and 600 MW in 2029</v>
      </c>
      <c r="C11" s="148">
        <f>+'Option 3'!B19</f>
        <v>2026.9623700078132</v>
      </c>
      <c r="D11" s="149">
        <f>+'Option 3'!B34</f>
        <v>1352.6700598589305</v>
      </c>
      <c r="E11" s="149">
        <f>+'Option 3'!B49</f>
        <v>1363.9858690565488</v>
      </c>
      <c r="F11" s="149">
        <f>+'Option 3'!B64</f>
        <v>1582.954736523895</v>
      </c>
      <c r="G11" s="147">
        <f>+'Option 3'!B79</f>
        <v>3297.0194533559861</v>
      </c>
      <c r="H11" s="147">
        <f t="shared" si="0"/>
        <v>1924.7184977606346</v>
      </c>
      <c r="I11" s="147">
        <f t="shared" si="1"/>
        <v>2000.7865243579483</v>
      </c>
    </row>
    <row r="12" spans="1:16" ht="27.95" customHeight="1" thickBot="1" x14ac:dyDescent="0.3">
      <c r="A12" s="79"/>
      <c r="B12" s="140" t="str">
        <f>+Overview!B9</f>
        <v>Option 4:  750 MW in 2027 and 750 MW in 2029</v>
      </c>
      <c r="C12" s="205">
        <f>+'Option 4'!B19</f>
        <v>2336.4816390642904</v>
      </c>
      <c r="D12" s="152">
        <f>+'Option 4'!B34</f>
        <v>1415.5867832293388</v>
      </c>
      <c r="E12" s="153">
        <f>+'Option 4'!B49</f>
        <v>1420.3535862106223</v>
      </c>
      <c r="F12" s="153">
        <f>+'Option 4'!B64</f>
        <v>1674.0997796946313</v>
      </c>
      <c r="G12" s="154">
        <f>+'Option 4'!B79</f>
        <v>3650.4291792878612</v>
      </c>
      <c r="H12" s="154">
        <f t="shared" si="0"/>
        <v>2099.3901934973487</v>
      </c>
      <c r="I12" s="154">
        <f t="shared" si="1"/>
        <v>2160.5342485821789</v>
      </c>
      <c r="J12" s="239"/>
    </row>
    <row r="13" spans="1:16" s="182" customFormat="1" x14ac:dyDescent="0.25">
      <c r="C13" s="239"/>
      <c r="D13" s="239"/>
      <c r="E13" s="239"/>
      <c r="F13" s="239"/>
      <c r="G13" s="239"/>
      <c r="H13" s="239"/>
    </row>
    <row r="14" spans="1:16" ht="15.75" thickBot="1" x14ac:dyDescent="0.3">
      <c r="A14" s="80"/>
      <c r="B14" s="114"/>
      <c r="C14" s="243"/>
      <c r="D14" s="243"/>
      <c r="E14" s="243"/>
      <c r="F14" s="243"/>
      <c r="G14" s="243"/>
      <c r="H14" s="243"/>
      <c r="I14" s="80"/>
      <c r="J14" s="80"/>
    </row>
    <row r="15" spans="1:16" s="79" customFormat="1" x14ac:dyDescent="0.25"/>
    <row r="16" spans="1:16" s="79" customFormat="1" ht="21" x14ac:dyDescent="0.35">
      <c r="B16" s="88" t="s">
        <v>146</v>
      </c>
    </row>
    <row r="17" spans="2:9" s="79" customFormat="1" ht="21.75" thickBot="1" x14ac:dyDescent="0.4">
      <c r="B17" s="88" t="s">
        <v>147</v>
      </c>
      <c r="C17" s="182"/>
      <c r="D17" s="182"/>
      <c r="E17" s="182"/>
      <c r="F17" s="182"/>
      <c r="G17" s="182"/>
      <c r="H17" s="182"/>
      <c r="I17" s="182"/>
    </row>
    <row r="18" spans="2:9" s="79" customFormat="1" ht="21" customHeight="1" x14ac:dyDescent="0.25">
      <c r="B18" s="67"/>
      <c r="C18" s="144" t="s">
        <v>98</v>
      </c>
      <c r="D18" s="145"/>
      <c r="E18" s="145"/>
      <c r="F18" s="145"/>
      <c r="G18" s="146"/>
      <c r="H18" s="146" t="s">
        <v>99</v>
      </c>
      <c r="I18" s="146"/>
    </row>
    <row r="19" spans="2:9" s="79" customFormat="1" ht="48.75" customHeight="1" x14ac:dyDescent="0.25">
      <c r="B19" s="69" t="s">
        <v>32</v>
      </c>
      <c r="C19" s="70" t="str">
        <f>+C8</f>
        <v xml:space="preserve">Slow Change </v>
      </c>
      <c r="D19" s="138" t="str">
        <f t="shared" ref="D19:G19" si="2">+D8</f>
        <v>Central</v>
      </c>
      <c r="E19" s="138" t="str">
        <f t="shared" si="2"/>
        <v>High DER</v>
      </c>
      <c r="F19" s="138" t="str">
        <f t="shared" si="2"/>
        <v xml:space="preserve">Fast Change </v>
      </c>
      <c r="G19" s="139" t="str">
        <f t="shared" si="2"/>
        <v>Step Change</v>
      </c>
      <c r="H19" s="139" t="s">
        <v>100</v>
      </c>
      <c r="I19" s="139" t="s">
        <v>145</v>
      </c>
    </row>
    <row r="20" spans="2:9" s="79" customFormat="1" ht="27.75" customHeight="1" x14ac:dyDescent="0.25">
      <c r="B20" s="76" t="str">
        <f>+B9</f>
        <v xml:space="preserve">Option 1:  600 MW in 2027 </v>
      </c>
      <c r="C20" s="148">
        <f>+'Option 1'!B124</f>
        <v>1624.3476159949369</v>
      </c>
      <c r="D20" s="149">
        <f>+'Option 1'!B142</f>
        <v>1982.9671526339109</v>
      </c>
      <c r="E20" s="149">
        <f>+'Option 1'!B155</f>
        <v>1980.2021577423241</v>
      </c>
      <c r="F20" s="149">
        <f>+'Option 1'!B168</f>
        <v>2177.598720556296</v>
      </c>
      <c r="G20" s="147">
        <f>+'Option 1'!B181</f>
        <v>3862.0614267078927</v>
      </c>
      <c r="H20" s="147">
        <f>AVERAGE(C20:G20)</f>
        <v>2325.4354147270724</v>
      </c>
      <c r="I20" s="147">
        <f>AVERAGE(D20:G20)</f>
        <v>2500.707364410106</v>
      </c>
    </row>
    <row r="21" spans="2:9" s="79" customFormat="1" ht="27.75" customHeight="1" x14ac:dyDescent="0.25">
      <c r="B21" s="76" t="str">
        <f t="shared" ref="B21:B23" si="3">+B10</f>
        <v>Option 2:  750 MW in 2027</v>
      </c>
      <c r="C21" s="150">
        <f>+'Option 2'!B124</f>
        <v>2214.1378255289746</v>
      </c>
      <c r="D21" s="143">
        <f>+'Option 2'!B142</f>
        <v>2498.8730208702</v>
      </c>
      <c r="E21" s="143">
        <f>+'Option 2'!B155</f>
        <v>2504.9548081238345</v>
      </c>
      <c r="F21" s="143">
        <f>+'Option 2'!B168</f>
        <v>2718.0429826695499</v>
      </c>
      <c r="G21" s="151">
        <f>+'Option 2'!B181</f>
        <v>4691.0113192015706</v>
      </c>
      <c r="H21" s="151">
        <f t="shared" ref="H21:H23" si="4">AVERAGE(C21:G21)</f>
        <v>2925.4039912788257</v>
      </c>
      <c r="I21" s="151">
        <f t="shared" ref="I21:I23" si="5">AVERAGE(D21:G21)</f>
        <v>3103.2205327162887</v>
      </c>
    </row>
    <row r="22" spans="2:9" s="79" customFormat="1" ht="27.75" customHeight="1" x14ac:dyDescent="0.25">
      <c r="B22" s="76" t="str">
        <f t="shared" si="3"/>
        <v>Option 3:  600 MW in 2027 and 600 MW in 2029</v>
      </c>
      <c r="C22" s="148">
        <f>+'Option 3'!B130</f>
        <v>3271.5504708518529</v>
      </c>
      <c r="D22" s="149">
        <f>+'Option 3'!B148</f>
        <v>2814.965890202765</v>
      </c>
      <c r="E22" s="149">
        <f>+'Option 3'!B161</f>
        <v>2831.028904559731</v>
      </c>
      <c r="F22" s="149">
        <f>+'Option 3'!B174</f>
        <v>3115.2047603344399</v>
      </c>
      <c r="G22" s="147">
        <f>+'Option 3'!B187</f>
        <v>5552.0478931026219</v>
      </c>
      <c r="H22" s="147">
        <f t="shared" si="4"/>
        <v>3516.9595838102823</v>
      </c>
      <c r="I22" s="147">
        <f t="shared" si="5"/>
        <v>3578.3118620498899</v>
      </c>
    </row>
    <row r="23" spans="2:9" s="79" customFormat="1" ht="27.75" customHeight="1" thickBot="1" x14ac:dyDescent="0.3">
      <c r="B23" s="140" t="str">
        <f t="shared" si="3"/>
        <v>Option 4:  750 MW in 2027 and 750 MW in 2029</v>
      </c>
      <c r="C23" s="205">
        <f>+'Option 4'!B130</f>
        <v>3833.7048867598728</v>
      </c>
      <c r="D23" s="152">
        <f>+'Option 4'!B148</f>
        <v>3002.5144951920224</v>
      </c>
      <c r="E23" s="153">
        <f>+'Option 4'!B161</f>
        <v>3007.9571930119851</v>
      </c>
      <c r="F23" s="153">
        <f>+'Option 4'!B174</f>
        <v>3349.9121955754613</v>
      </c>
      <c r="G23" s="154">
        <f>+'Option 4'!B187</f>
        <v>6101.1847697321409</v>
      </c>
      <c r="H23" s="154">
        <f t="shared" si="4"/>
        <v>3859.0547080542965</v>
      </c>
      <c r="I23" s="154">
        <f t="shared" si="5"/>
        <v>3865.3921633779023</v>
      </c>
    </row>
    <row r="24" spans="2:9" s="79" customFormat="1" x14ac:dyDescent="0.25"/>
    <row r="25" spans="2:9" s="79" customFormat="1" ht="21.75" thickBot="1" x14ac:dyDescent="0.4">
      <c r="B25" s="88" t="s">
        <v>148</v>
      </c>
    </row>
    <row r="26" spans="2:9" s="79" customFormat="1" ht="21" customHeight="1" x14ac:dyDescent="0.25">
      <c r="B26" s="67"/>
      <c r="C26" s="144" t="s">
        <v>98</v>
      </c>
      <c r="D26" s="145"/>
      <c r="E26" s="145"/>
      <c r="F26" s="145"/>
      <c r="G26" s="146"/>
      <c r="H26" s="146" t="s">
        <v>99</v>
      </c>
      <c r="I26" s="146"/>
    </row>
    <row r="27" spans="2:9" s="79" customFormat="1" ht="28.5" customHeight="1" x14ac:dyDescent="0.25">
      <c r="B27" s="69" t="s">
        <v>32</v>
      </c>
      <c r="C27" s="70" t="str">
        <f>+C19</f>
        <v xml:space="preserve">Slow Change </v>
      </c>
      <c r="D27" s="138" t="str">
        <f t="shared" ref="D27:G27" si="6">+D19</f>
        <v>Central</v>
      </c>
      <c r="E27" s="138" t="str">
        <f t="shared" si="6"/>
        <v>High DER</v>
      </c>
      <c r="F27" s="138" t="str">
        <f t="shared" si="6"/>
        <v xml:space="preserve">Fast Change </v>
      </c>
      <c r="G27" s="139" t="str">
        <f t="shared" si="6"/>
        <v>Step Change</v>
      </c>
      <c r="H27" s="139" t="s">
        <v>100</v>
      </c>
      <c r="I27" s="139" t="s">
        <v>145</v>
      </c>
    </row>
    <row r="28" spans="2:9" s="79" customFormat="1" ht="27.75" customHeight="1" x14ac:dyDescent="0.25">
      <c r="B28" s="76" t="str">
        <f>+B20</f>
        <v xml:space="preserve">Option 1:  600 MW in 2027 </v>
      </c>
      <c r="C28" s="148">
        <f>+'Option 1'!B105</f>
        <v>928.03185800498886</v>
      </c>
      <c r="D28" s="149">
        <f>+'Option 1'!C105</f>
        <v>962.52064312415132</v>
      </c>
      <c r="E28" s="149">
        <f>+'Option 1'!D105</f>
        <v>959.07570347976753</v>
      </c>
      <c r="F28" s="149">
        <f>+'Option 1'!E105</f>
        <v>1106.6021237553314</v>
      </c>
      <c r="G28" s="147">
        <f>+'Option 1'!F105</f>
        <v>2238.1869545737077</v>
      </c>
      <c r="H28" s="147">
        <f>AVERAGE(C28:G28)</f>
        <v>1238.8834565875893</v>
      </c>
      <c r="I28" s="147">
        <f>AVERAGE(D28:G28)</f>
        <v>1316.5963562332395</v>
      </c>
    </row>
    <row r="29" spans="2:9" s="79" customFormat="1" ht="27.75" customHeight="1" x14ac:dyDescent="0.25">
      <c r="B29" s="76" t="str">
        <f t="shared" ref="B29:B31" si="7">+B21</f>
        <v>Option 2:  750 MW in 2027</v>
      </c>
      <c r="C29" s="150">
        <f>+'Option 2'!B105</f>
        <v>1353.9514824626085</v>
      </c>
      <c r="D29" s="143">
        <f>+'Option 2'!C105</f>
        <v>1266.6927136253944</v>
      </c>
      <c r="E29" s="143">
        <f>+'Option 2'!D105</f>
        <v>1266.5023632484013</v>
      </c>
      <c r="F29" s="143">
        <f>+'Option 2'!E105</f>
        <v>1429.9722615873875</v>
      </c>
      <c r="G29" s="151">
        <f>+'Option 2'!F105</f>
        <v>2769.2055783621131</v>
      </c>
      <c r="H29" s="151">
        <f t="shared" ref="H29:H31" si="8">AVERAGE(C29:G29)</f>
        <v>1617.2648798571809</v>
      </c>
      <c r="I29" s="151">
        <f t="shared" ref="I29:I31" si="9">AVERAGE(D29:G29)</f>
        <v>1683.0932292058242</v>
      </c>
    </row>
    <row r="30" spans="2:9" s="79" customFormat="1" ht="27.75" customHeight="1" x14ac:dyDescent="0.25">
      <c r="B30" s="76" t="str">
        <f t="shared" si="7"/>
        <v>Option 3:  600 MW in 2027 and 600 MW in 2029</v>
      </c>
      <c r="C30" s="148">
        <f>+'Option 3'!B111</f>
        <v>1869.7561619448461</v>
      </c>
      <c r="D30" s="149">
        <f>+'Option 3'!C111</f>
        <v>1205.2468316082145</v>
      </c>
      <c r="E30" s="149">
        <f>+'Option 3'!D111</f>
        <v>1216.5626408058329</v>
      </c>
      <c r="F30" s="149">
        <f>+'Option 3'!E111</f>
        <v>1435.531508273179</v>
      </c>
      <c r="G30" s="147">
        <f>+'Option 3'!F111</f>
        <v>3149.5962251052702</v>
      </c>
      <c r="H30" s="147">
        <f t="shared" si="8"/>
        <v>1775.3386735474683</v>
      </c>
      <c r="I30" s="147">
        <f t="shared" si="9"/>
        <v>1751.7343014481241</v>
      </c>
    </row>
    <row r="31" spans="2:9" s="79" customFormat="1" ht="27.75" customHeight="1" thickBot="1" x14ac:dyDescent="0.3">
      <c r="B31" s="140" t="str">
        <f t="shared" si="7"/>
        <v>Option 4:  750 MW in 2027 and 750 MW in 2029</v>
      </c>
      <c r="C31" s="205">
        <f>+'Option 4'!B111</f>
        <v>2170.3456309005014</v>
      </c>
      <c r="D31" s="152">
        <f>+'Option 4'!C111</f>
        <v>1259.6182203341959</v>
      </c>
      <c r="E31" s="153">
        <f>+'Option 4'!D111</f>
        <v>1264.3850233154794</v>
      </c>
      <c r="F31" s="153">
        <f>+'Option 4'!E111</f>
        <v>1518.1312167994884</v>
      </c>
      <c r="G31" s="154">
        <f>+'Option 4'!F111</f>
        <v>3494.4606163927183</v>
      </c>
      <c r="H31" s="154">
        <f t="shared" si="8"/>
        <v>1941.3881415484764</v>
      </c>
      <c r="I31" s="154">
        <f t="shared" si="9"/>
        <v>1884.1487692104706</v>
      </c>
    </row>
    <row r="32" spans="2:9" s="79" customFormat="1" x14ac:dyDescent="0.25"/>
    <row r="33" spans="3:8" s="79" customFormat="1" x14ac:dyDescent="0.25">
      <c r="C33" s="239"/>
      <c r="D33" s="239"/>
      <c r="E33" s="239"/>
      <c r="F33" s="239"/>
      <c r="G33" s="239"/>
      <c r="H33" s="239"/>
    </row>
    <row r="34" spans="3:8" s="79" customFormat="1" x14ac:dyDescent="0.25">
      <c r="C34" s="239"/>
      <c r="D34" s="239"/>
      <c r="E34" s="239"/>
      <c r="F34" s="239"/>
      <c r="G34" s="239"/>
      <c r="H34" s="239"/>
    </row>
    <row r="35" spans="3:8" s="79" customFormat="1" x14ac:dyDescent="0.25"/>
    <row r="36" spans="3:8" s="79" customFormat="1" ht="27" customHeight="1" x14ac:dyDescent="0.25"/>
    <row r="37" spans="3:8" s="79" customFormat="1" ht="45.75" customHeight="1" x14ac:dyDescent="0.25"/>
    <row r="38" spans="3:8" s="79" customFormat="1" ht="30" customHeight="1" x14ac:dyDescent="0.25"/>
    <row r="39" spans="3:8" s="79" customFormat="1" ht="30" customHeight="1" x14ac:dyDescent="0.25"/>
    <row r="40" spans="3:8" s="79" customFormat="1" ht="30" customHeight="1" x14ac:dyDescent="0.25"/>
    <row r="41" spans="3:8" s="79" customFormat="1" x14ac:dyDescent="0.25"/>
    <row r="42" spans="3:8" s="79" customFormat="1" x14ac:dyDescent="0.25"/>
    <row r="43" spans="3:8" s="79" customFormat="1" x14ac:dyDescent="0.25"/>
    <row r="44" spans="3:8" s="79" customFormat="1" x14ac:dyDescent="0.25"/>
    <row r="45" spans="3:8" s="79" customFormat="1" ht="27.75" customHeight="1" x14ac:dyDescent="0.25"/>
    <row r="46" spans="3:8" s="79" customFormat="1" ht="48.75" customHeight="1" x14ac:dyDescent="0.25"/>
    <row r="47" spans="3:8" s="79" customFormat="1" ht="30" customHeight="1" x14ac:dyDescent="0.25"/>
    <row r="48" spans="3:8" s="79" customFormat="1" ht="30" customHeight="1" x14ac:dyDescent="0.25"/>
    <row r="49" s="79" customFormat="1" ht="30" customHeight="1" x14ac:dyDescent="0.25"/>
    <row r="50" s="79" customFormat="1" ht="30" customHeight="1" x14ac:dyDescent="0.25"/>
    <row r="51" s="79" customFormat="1" ht="30" customHeight="1" x14ac:dyDescent="0.25"/>
    <row r="52" s="79" customFormat="1" x14ac:dyDescent="0.25"/>
    <row r="53" s="79" customFormat="1" x14ac:dyDescent="0.25"/>
    <row r="54" s="79" customFormat="1" x14ac:dyDescent="0.25"/>
    <row r="55" s="79" customFormat="1" x14ac:dyDescent="0.25"/>
    <row r="56" s="79" customFormat="1" ht="31.5" customHeight="1" x14ac:dyDescent="0.25"/>
    <row r="57" s="79" customFormat="1" ht="48.75" customHeight="1" x14ac:dyDescent="0.25"/>
    <row r="58" s="79" customFormat="1" ht="30" customHeight="1" x14ac:dyDescent="0.25"/>
    <row r="59" s="79" customFormat="1" ht="30" customHeight="1" x14ac:dyDescent="0.25"/>
    <row r="60" s="79" customFormat="1" ht="30" customHeight="1" x14ac:dyDescent="0.25"/>
    <row r="61" s="79" customFormat="1" ht="30" customHeight="1" x14ac:dyDescent="0.25"/>
    <row r="62" s="79" customFormat="1" x14ac:dyDescent="0.25"/>
    <row r="63" s="79" customFormat="1" x14ac:dyDescent="0.25"/>
    <row r="64" s="79" customFormat="1" hidden="1" x14ac:dyDescent="0.25"/>
    <row r="65" s="79" customFormat="1" hidden="1" x14ac:dyDescent="0.25"/>
    <row r="66" s="79" customFormat="1" hidden="1" x14ac:dyDescent="0.25"/>
    <row r="67" s="79" customFormat="1" hidden="1" x14ac:dyDescent="0.25"/>
    <row r="68" s="79" customFormat="1" hidden="1" x14ac:dyDescent="0.25"/>
    <row r="69" s="79" customFormat="1" hidden="1" x14ac:dyDescent="0.25"/>
    <row r="70" s="79" customFormat="1" hidden="1" x14ac:dyDescent="0.25"/>
    <row r="71" s="79" customFormat="1" hidden="1" x14ac:dyDescent="0.25"/>
    <row r="72" s="79" customFormat="1" hidden="1" x14ac:dyDescent="0.25"/>
    <row r="73" s="79" customFormat="1" hidden="1" x14ac:dyDescent="0.25"/>
    <row r="74" s="79" customFormat="1" hidden="1" x14ac:dyDescent="0.25"/>
    <row r="75" s="79" customFormat="1" hidden="1" x14ac:dyDescent="0.25"/>
    <row r="76" s="79" customFormat="1" hidden="1" x14ac:dyDescent="0.25"/>
    <row r="77" s="79" customFormat="1" hidden="1" x14ac:dyDescent="0.25"/>
    <row r="78" s="79" customFormat="1" hidden="1" x14ac:dyDescent="0.25"/>
    <row r="79" s="79" customFormat="1" hidden="1" x14ac:dyDescent="0.25"/>
    <row r="80" s="79" customFormat="1" hidden="1" x14ac:dyDescent="0.25"/>
    <row r="81" s="79" customFormat="1" hidden="1" x14ac:dyDescent="0.25"/>
    <row r="82" s="79" customFormat="1" hidden="1" x14ac:dyDescent="0.25"/>
    <row r="83" s="79" customFormat="1" hidden="1" x14ac:dyDescent="0.25"/>
    <row r="84" s="79" customFormat="1" hidden="1" x14ac:dyDescent="0.25"/>
    <row r="85" s="79" customFormat="1" hidden="1" x14ac:dyDescent="0.25"/>
    <row r="86" s="79" customFormat="1" hidden="1" x14ac:dyDescent="0.25"/>
    <row r="87" s="79" customFormat="1" hidden="1" x14ac:dyDescent="0.25"/>
    <row r="88" s="79" customFormat="1" hidden="1" x14ac:dyDescent="0.25"/>
    <row r="89" s="79" customFormat="1" hidden="1" x14ac:dyDescent="0.25"/>
    <row r="90" s="79" customFormat="1" hidden="1" x14ac:dyDescent="0.25"/>
    <row r="91" s="79" customFormat="1" hidden="1" x14ac:dyDescent="0.25"/>
    <row r="92" s="79" customFormat="1" hidden="1" x14ac:dyDescent="0.25"/>
    <row r="93" s="79" customFormat="1" hidden="1" x14ac:dyDescent="0.25"/>
    <row r="94" s="79" customFormat="1" hidden="1" x14ac:dyDescent="0.25"/>
    <row r="95" s="79" customFormat="1" x14ac:dyDescent="0.25"/>
    <row r="96" s="79" customFormat="1" x14ac:dyDescent="0.25"/>
    <row r="97" s="79" customFormat="1" x14ac:dyDescent="0.25"/>
    <row r="98" s="79" customFormat="1" x14ac:dyDescent="0.25"/>
    <row r="99" s="79" customFormat="1" x14ac:dyDescent="0.25"/>
    <row r="100" x14ac:dyDescent="0.25"/>
    <row r="101" x14ac:dyDescent="0.25"/>
    <row r="102" x14ac:dyDescent="0.25"/>
    <row r="103" x14ac:dyDescent="0.25"/>
  </sheetData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2"/>
  <sheetViews>
    <sheetView workbookViewId="0"/>
  </sheetViews>
  <sheetFormatPr defaultColWidth="0" defaultRowHeight="12.75" zeroHeight="1" x14ac:dyDescent="0.2"/>
  <cols>
    <col min="1" max="1" width="1.7109375" style="81" customWidth="1"/>
    <col min="2" max="2" width="19" style="11" customWidth="1"/>
    <col min="3" max="13" width="10.7109375" style="10" customWidth="1"/>
    <col min="14" max="14" width="10.7109375" style="11" customWidth="1"/>
    <col min="15" max="16" width="10.7109375" style="12" customWidth="1"/>
    <col min="17" max="33" width="10.7109375" style="10" customWidth="1"/>
    <col min="34" max="34" width="8.85546875" style="10" customWidth="1"/>
    <col min="35" max="40" width="12.7109375" style="10" hidden="1" customWidth="1"/>
    <col min="41" max="16384" width="15.7109375" style="10" hidden="1"/>
  </cols>
  <sheetData>
    <row r="1" spans="1:34" ht="23.25" x14ac:dyDescent="0.35">
      <c r="A1" s="106"/>
      <c r="B1" s="107" t="s">
        <v>166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8"/>
      <c r="O1" s="109"/>
      <c r="P1" s="109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81"/>
    </row>
    <row r="2" spans="1:34" ht="15" x14ac:dyDescent="0.25">
      <c r="B2" s="84" t="s">
        <v>45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3"/>
      <c r="P2" s="83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</row>
    <row r="3" spans="1:34" ht="15" x14ac:dyDescent="0.25">
      <c r="B3" s="85" t="s">
        <v>162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3"/>
      <c r="P3" s="83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34" ht="15" x14ac:dyDescent="0.25">
      <c r="B4" s="87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  <c r="O4" s="83"/>
      <c r="P4" s="83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</row>
    <row r="5" spans="1:34" ht="15.75" thickBot="1" x14ac:dyDescent="0.3">
      <c r="B5" s="85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/>
      <c r="O5" s="83"/>
      <c r="P5" s="83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</row>
    <row r="6" spans="1:34" ht="15" x14ac:dyDescent="0.25">
      <c r="B6" s="16" t="s">
        <v>34</v>
      </c>
      <c r="C6" s="17">
        <v>0</v>
      </c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17">
        <v>6</v>
      </c>
      <c r="J6" s="17">
        <v>7</v>
      </c>
      <c r="K6" s="17">
        <v>8</v>
      </c>
      <c r="L6" s="17">
        <v>9</v>
      </c>
      <c r="M6" s="17">
        <v>10</v>
      </c>
      <c r="N6" s="17">
        <v>11</v>
      </c>
      <c r="O6" s="17">
        <v>12</v>
      </c>
      <c r="P6" s="17">
        <v>13</v>
      </c>
      <c r="Q6" s="17">
        <v>14</v>
      </c>
      <c r="R6" s="17">
        <v>15</v>
      </c>
      <c r="S6" s="17">
        <v>16</v>
      </c>
      <c r="T6" s="17">
        <v>17</v>
      </c>
      <c r="U6" s="17">
        <v>18</v>
      </c>
      <c r="V6" s="17">
        <v>19</v>
      </c>
      <c r="W6" s="17">
        <v>20</v>
      </c>
      <c r="X6" s="17">
        <v>21</v>
      </c>
      <c r="Y6" s="17">
        <v>22</v>
      </c>
      <c r="Z6" s="17">
        <v>23</v>
      </c>
      <c r="AA6" s="17">
        <v>24</v>
      </c>
      <c r="AB6" s="17">
        <v>25</v>
      </c>
      <c r="AC6" s="17">
        <v>26</v>
      </c>
      <c r="AD6" s="17">
        <v>27</v>
      </c>
      <c r="AE6" s="17">
        <v>28</v>
      </c>
      <c r="AF6" s="17">
        <v>29</v>
      </c>
      <c r="AG6" s="18">
        <v>30</v>
      </c>
      <c r="AH6" s="81"/>
    </row>
    <row r="7" spans="1:34" ht="15" x14ac:dyDescent="0.25">
      <c r="B7" s="19" t="s">
        <v>38</v>
      </c>
      <c r="C7" s="20">
        <v>43647</v>
      </c>
      <c r="D7" s="21">
        <f>EDATE(C7,12)</f>
        <v>44013</v>
      </c>
      <c r="E7" s="21">
        <f t="shared" ref="E7:AG7" si="0">EDATE(D7,12)</f>
        <v>44378</v>
      </c>
      <c r="F7" s="21">
        <f t="shared" si="0"/>
        <v>44743</v>
      </c>
      <c r="G7" s="21">
        <f t="shared" si="0"/>
        <v>45108</v>
      </c>
      <c r="H7" s="21">
        <f t="shared" si="0"/>
        <v>45474</v>
      </c>
      <c r="I7" s="21">
        <f t="shared" si="0"/>
        <v>45839</v>
      </c>
      <c r="J7" s="21">
        <f t="shared" si="0"/>
        <v>46204</v>
      </c>
      <c r="K7" s="21">
        <f t="shared" si="0"/>
        <v>46569</v>
      </c>
      <c r="L7" s="21">
        <f t="shared" si="0"/>
        <v>46935</v>
      </c>
      <c r="M7" s="21">
        <f t="shared" si="0"/>
        <v>47300</v>
      </c>
      <c r="N7" s="21">
        <f t="shared" si="0"/>
        <v>47665</v>
      </c>
      <c r="O7" s="21">
        <f t="shared" si="0"/>
        <v>48030</v>
      </c>
      <c r="P7" s="21">
        <f t="shared" si="0"/>
        <v>48396</v>
      </c>
      <c r="Q7" s="21">
        <f t="shared" si="0"/>
        <v>48761</v>
      </c>
      <c r="R7" s="21">
        <f t="shared" si="0"/>
        <v>49126</v>
      </c>
      <c r="S7" s="21">
        <f t="shared" si="0"/>
        <v>49491</v>
      </c>
      <c r="T7" s="21">
        <f t="shared" si="0"/>
        <v>49857</v>
      </c>
      <c r="U7" s="21">
        <f t="shared" si="0"/>
        <v>50222</v>
      </c>
      <c r="V7" s="21">
        <f t="shared" si="0"/>
        <v>50587</v>
      </c>
      <c r="W7" s="21">
        <f t="shared" si="0"/>
        <v>50952</v>
      </c>
      <c r="X7" s="21">
        <f t="shared" si="0"/>
        <v>51318</v>
      </c>
      <c r="Y7" s="21">
        <f t="shared" si="0"/>
        <v>51683</v>
      </c>
      <c r="Z7" s="21">
        <f t="shared" si="0"/>
        <v>52048</v>
      </c>
      <c r="AA7" s="21">
        <f t="shared" si="0"/>
        <v>52413</v>
      </c>
      <c r="AB7" s="21">
        <f t="shared" si="0"/>
        <v>52779</v>
      </c>
      <c r="AC7" s="21">
        <f t="shared" si="0"/>
        <v>53144</v>
      </c>
      <c r="AD7" s="21">
        <f t="shared" si="0"/>
        <v>53509</v>
      </c>
      <c r="AE7" s="21">
        <f t="shared" si="0"/>
        <v>53874</v>
      </c>
      <c r="AF7" s="21">
        <f t="shared" si="0"/>
        <v>54240</v>
      </c>
      <c r="AG7" s="22">
        <f t="shared" si="0"/>
        <v>54605</v>
      </c>
      <c r="AH7" s="81"/>
    </row>
    <row r="8" spans="1:34" s="9" customFormat="1" ht="15" x14ac:dyDescent="0.25">
      <c r="A8" s="86"/>
      <c r="B8" s="23" t="s">
        <v>39</v>
      </c>
      <c r="C8" s="30" t="s">
        <v>36</v>
      </c>
      <c r="D8" s="30" t="s">
        <v>2</v>
      </c>
      <c r="E8" s="30" t="s">
        <v>3</v>
      </c>
      <c r="F8" s="30" t="s">
        <v>4</v>
      </c>
      <c r="G8" s="30" t="s">
        <v>5</v>
      </c>
      <c r="H8" s="30" t="s">
        <v>6</v>
      </c>
      <c r="I8" s="30" t="s">
        <v>7</v>
      </c>
      <c r="J8" s="30" t="s">
        <v>8</v>
      </c>
      <c r="K8" s="30" t="s">
        <v>9</v>
      </c>
      <c r="L8" s="30" t="s">
        <v>10</v>
      </c>
      <c r="M8" s="30" t="s">
        <v>11</v>
      </c>
      <c r="N8" s="30" t="s">
        <v>12</v>
      </c>
      <c r="O8" s="30" t="s">
        <v>13</v>
      </c>
      <c r="P8" s="30" t="s">
        <v>14</v>
      </c>
      <c r="Q8" s="30" t="s">
        <v>15</v>
      </c>
      <c r="R8" s="30" t="s">
        <v>16</v>
      </c>
      <c r="S8" s="30" t="s">
        <v>17</v>
      </c>
      <c r="T8" s="30" t="s">
        <v>18</v>
      </c>
      <c r="U8" s="30" t="s">
        <v>19</v>
      </c>
      <c r="V8" s="30" t="s">
        <v>20</v>
      </c>
      <c r="W8" s="30" t="s">
        <v>21</v>
      </c>
      <c r="X8" s="30" t="s">
        <v>22</v>
      </c>
      <c r="Y8" s="30" t="s">
        <v>23</v>
      </c>
      <c r="Z8" s="30" t="s">
        <v>24</v>
      </c>
      <c r="AA8" s="30" t="s">
        <v>25</v>
      </c>
      <c r="AB8" s="30" t="s">
        <v>26</v>
      </c>
      <c r="AC8" s="30" t="s">
        <v>27</v>
      </c>
      <c r="AD8" s="30" t="s">
        <v>28</v>
      </c>
      <c r="AE8" s="30" t="s">
        <v>29</v>
      </c>
      <c r="AF8" s="30" t="s">
        <v>30</v>
      </c>
      <c r="AG8" s="31" t="s">
        <v>31</v>
      </c>
      <c r="AH8" s="86"/>
    </row>
    <row r="9" spans="1:34" ht="15" x14ac:dyDescent="0.25">
      <c r="B9" s="24" t="s">
        <v>43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15704394.790384442</v>
      </c>
      <c r="K9" s="25">
        <v>15788363.499540407</v>
      </c>
      <c r="L9" s="25">
        <v>15876122.651112929</v>
      </c>
      <c r="M9" s="25">
        <v>15961779.131322926</v>
      </c>
      <c r="N9" s="25">
        <v>16048292.176335022</v>
      </c>
      <c r="O9" s="25">
        <v>16135670.351797238</v>
      </c>
      <c r="P9" s="25">
        <v>16223922.309014076</v>
      </c>
      <c r="Q9" s="25">
        <v>16313056.785803083</v>
      </c>
      <c r="R9" s="25">
        <v>16403082.607359981</v>
      </c>
      <c r="S9" s="25">
        <v>16494008.687132448</v>
      </c>
      <c r="T9" s="25">
        <v>16585844.027702641</v>
      </c>
      <c r="U9" s="25">
        <v>16678597.721678535</v>
      </c>
      <c r="V9" s="25">
        <v>16772278.952594187</v>
      </c>
      <c r="W9" s="25">
        <v>16866896.995818999</v>
      </c>
      <c r="X9" s="25">
        <v>16962461.219476055</v>
      </c>
      <c r="Y9" s="25">
        <v>17058981.085369684</v>
      </c>
      <c r="Z9" s="25">
        <v>17156466.149922252</v>
      </c>
      <c r="AA9" s="25">
        <v>17254926.065120339</v>
      </c>
      <c r="AB9" s="25">
        <v>17354370.579470411</v>
      </c>
      <c r="AC9" s="25">
        <v>17454809.538963977</v>
      </c>
      <c r="AD9" s="25">
        <v>17556252.888052486</v>
      </c>
      <c r="AE9" s="25">
        <v>17658710.670631878</v>
      </c>
      <c r="AF9" s="25">
        <v>17762193.03103707</v>
      </c>
      <c r="AG9" s="26">
        <v>17866710.215046305</v>
      </c>
      <c r="AH9" s="81"/>
    </row>
    <row r="10" spans="1:34" ht="15" x14ac:dyDescent="0.25">
      <c r="B10" s="27" t="s">
        <v>44</v>
      </c>
      <c r="C10" s="32">
        <f>+C9/1000000</f>
        <v>0</v>
      </c>
      <c r="D10" s="32">
        <f t="shared" ref="D10:AG10" si="1">+D9/1000000</f>
        <v>0</v>
      </c>
      <c r="E10" s="32">
        <f t="shared" si="1"/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15.704394790384441</v>
      </c>
      <c r="K10" s="32">
        <f t="shared" si="1"/>
        <v>15.788363499540408</v>
      </c>
      <c r="L10" s="32">
        <f t="shared" si="1"/>
        <v>15.876122651112929</v>
      </c>
      <c r="M10" s="32">
        <f t="shared" si="1"/>
        <v>15.961779131322926</v>
      </c>
      <c r="N10" s="32">
        <f t="shared" si="1"/>
        <v>16.048292176335021</v>
      </c>
      <c r="O10" s="32">
        <f t="shared" si="1"/>
        <v>16.135670351797238</v>
      </c>
      <c r="P10" s="32">
        <f t="shared" si="1"/>
        <v>16.223922309014075</v>
      </c>
      <c r="Q10" s="32">
        <f t="shared" si="1"/>
        <v>16.313056785803084</v>
      </c>
      <c r="R10" s="32">
        <f t="shared" si="1"/>
        <v>16.40308260735998</v>
      </c>
      <c r="S10" s="32">
        <f t="shared" si="1"/>
        <v>16.49400868713245</v>
      </c>
      <c r="T10" s="32">
        <f t="shared" si="1"/>
        <v>16.585844027702642</v>
      </c>
      <c r="U10" s="32">
        <f t="shared" si="1"/>
        <v>16.678597721678535</v>
      </c>
      <c r="V10" s="32">
        <f t="shared" si="1"/>
        <v>16.772278952594188</v>
      </c>
      <c r="W10" s="32">
        <f t="shared" si="1"/>
        <v>16.866896995818998</v>
      </c>
      <c r="X10" s="32">
        <f t="shared" si="1"/>
        <v>16.962461219476054</v>
      </c>
      <c r="Y10" s="32">
        <f t="shared" si="1"/>
        <v>17.058981085369684</v>
      </c>
      <c r="Z10" s="32">
        <f t="shared" si="1"/>
        <v>17.156466149922252</v>
      </c>
      <c r="AA10" s="32">
        <f t="shared" si="1"/>
        <v>17.25492606512034</v>
      </c>
      <c r="AB10" s="32">
        <f t="shared" si="1"/>
        <v>17.354370579470412</v>
      </c>
      <c r="AC10" s="32">
        <f t="shared" si="1"/>
        <v>17.454809538963978</v>
      </c>
      <c r="AD10" s="32">
        <f t="shared" si="1"/>
        <v>17.556252888052487</v>
      </c>
      <c r="AE10" s="32">
        <f t="shared" si="1"/>
        <v>17.658710670631876</v>
      </c>
      <c r="AF10" s="32">
        <f t="shared" si="1"/>
        <v>17.762193031037071</v>
      </c>
      <c r="AG10" s="33">
        <f t="shared" si="1"/>
        <v>17.866710215046304</v>
      </c>
      <c r="AH10" s="81"/>
    </row>
    <row r="11" spans="1:34" ht="15.75" thickBot="1" x14ac:dyDescent="0.3"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5"/>
      <c r="P11" s="15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29"/>
      <c r="AH11" s="81"/>
    </row>
    <row r="12" spans="1:34" ht="25.5" customHeight="1" x14ac:dyDescent="0.2">
      <c r="B12" s="218" t="s">
        <v>163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2"/>
      <c r="O12" s="83"/>
      <c r="P12" s="83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4" hidden="1" x14ac:dyDescent="0.2"/>
    <row r="14" spans="1:34" hidden="1" x14ac:dyDescent="0.2"/>
    <row r="15" spans="1:34" hidden="1" x14ac:dyDescent="0.2"/>
    <row r="16" spans="1:34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zoomScaleNormal="100" workbookViewId="0"/>
  </sheetViews>
  <sheetFormatPr defaultColWidth="0" defaultRowHeight="15" zeroHeight="1" x14ac:dyDescent="0.25"/>
  <cols>
    <col min="1" max="1" width="1.7109375" style="79" customWidth="1"/>
    <col min="2" max="2" width="36.85546875" style="79" customWidth="1"/>
    <col min="3" max="4" width="12.7109375" style="79" customWidth="1"/>
    <col min="5" max="6" width="12.7109375" customWidth="1"/>
    <col min="7" max="7" width="13.85546875" customWidth="1"/>
    <col min="8" max="8" width="12.7109375" customWidth="1"/>
    <col min="9" max="9" width="12" style="79" customWidth="1"/>
    <col min="10" max="24" width="20.7109375" customWidth="1"/>
    <col min="25" max="25" width="20.7109375" style="182" customWidth="1"/>
    <col min="26" max="16384" width="20.7109375" hidden="1"/>
  </cols>
  <sheetData>
    <row r="1" spans="1:24" ht="23.25" x14ac:dyDescent="0.35">
      <c r="A1" s="103"/>
      <c r="B1" s="104" t="s">
        <v>149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s="182" customFormat="1" x14ac:dyDescent="0.25">
      <c r="B2" s="182" t="s">
        <v>101</v>
      </c>
      <c r="C2" s="89">
        <f>+Overview!C13</f>
        <v>4.8000000000000001E-2</v>
      </c>
      <c r="D2" s="254" t="s">
        <v>49</v>
      </c>
    </row>
    <row r="3" spans="1:24" s="182" customFormat="1" ht="15.75" thickBot="1" x14ac:dyDescent="0.3">
      <c r="B3" s="182" t="s">
        <v>102</v>
      </c>
      <c r="C3" s="89">
        <f>+Overview!C14</f>
        <v>3.7999999999999999E-2</v>
      </c>
      <c r="D3" s="255"/>
    </row>
    <row r="4" spans="1:24" ht="15.75" thickBot="1" x14ac:dyDescent="0.3">
      <c r="B4" s="256" t="s">
        <v>178</v>
      </c>
      <c r="C4" s="257"/>
      <c r="D4" s="257"/>
      <c r="E4" s="257"/>
      <c r="F4" s="258"/>
      <c r="G4" s="79"/>
      <c r="H4" s="182"/>
      <c r="J4" s="251" t="s">
        <v>179</v>
      </c>
      <c r="K4" s="252"/>
      <c r="L4" s="252"/>
      <c r="M4" s="252"/>
      <c r="N4" s="252"/>
      <c r="O4" s="252"/>
      <c r="P4" s="252"/>
      <c r="Q4" s="252"/>
      <c r="R4" s="252"/>
      <c r="S4" s="252"/>
      <c r="T4" s="253"/>
      <c r="U4" s="182"/>
      <c r="V4" s="182"/>
      <c r="W4" s="182"/>
      <c r="X4" s="182"/>
    </row>
    <row r="5" spans="1:24" x14ac:dyDescent="0.25">
      <c r="B5" s="259" t="s">
        <v>66</v>
      </c>
      <c r="C5" s="249" t="s">
        <v>130</v>
      </c>
      <c r="D5" s="250"/>
      <c r="E5" s="249" t="s">
        <v>131</v>
      </c>
      <c r="F5" s="250"/>
      <c r="G5" s="79"/>
      <c r="H5" s="182"/>
      <c r="J5" s="259" t="s">
        <v>66</v>
      </c>
      <c r="K5" s="249" t="s">
        <v>155</v>
      </c>
      <c r="L5" s="250"/>
      <c r="M5" s="249" t="s">
        <v>156</v>
      </c>
      <c r="N5" s="250"/>
      <c r="O5" s="249" t="s">
        <v>157</v>
      </c>
      <c r="P5" s="250"/>
      <c r="Q5" s="249" t="s">
        <v>158</v>
      </c>
      <c r="R5" s="250"/>
      <c r="S5" s="249" t="s">
        <v>174</v>
      </c>
      <c r="T5" s="250"/>
      <c r="U5" s="182"/>
      <c r="V5" s="182"/>
      <c r="W5" s="182"/>
      <c r="X5" s="182"/>
    </row>
    <row r="6" spans="1:24" ht="15.75" thickBot="1" x14ac:dyDescent="0.3">
      <c r="B6" s="260"/>
      <c r="C6" s="208" t="s">
        <v>46</v>
      </c>
      <c r="D6" s="209" t="s">
        <v>65</v>
      </c>
      <c r="E6" s="208" t="s">
        <v>46</v>
      </c>
      <c r="F6" s="209" t="s">
        <v>65</v>
      </c>
      <c r="G6" s="182"/>
      <c r="H6" s="182"/>
      <c r="I6" s="182"/>
      <c r="J6" s="260"/>
      <c r="K6" s="208" t="s">
        <v>46</v>
      </c>
      <c r="L6" s="209" t="s">
        <v>159</v>
      </c>
      <c r="M6" s="208" t="s">
        <v>46</v>
      </c>
      <c r="N6" s="209" t="s">
        <v>159</v>
      </c>
      <c r="O6" s="208" t="s">
        <v>46</v>
      </c>
      <c r="P6" s="209" t="s">
        <v>159</v>
      </c>
      <c r="Q6" s="208" t="s">
        <v>46</v>
      </c>
      <c r="R6" s="209" t="s">
        <v>159</v>
      </c>
      <c r="S6" s="208" t="s">
        <v>175</v>
      </c>
      <c r="T6" s="209" t="s">
        <v>176</v>
      </c>
      <c r="U6" s="182"/>
      <c r="V6" s="182"/>
      <c r="W6" s="182"/>
      <c r="X6" s="182"/>
    </row>
    <row r="7" spans="1:24" x14ac:dyDescent="0.25">
      <c r="B7" s="178">
        <v>1500</v>
      </c>
      <c r="C7" s="206">
        <f>+C32</f>
        <v>138.00248418002869</v>
      </c>
      <c r="D7" s="207">
        <f>+C7+G32</f>
        <v>221.18291467967254</v>
      </c>
      <c r="E7" s="206">
        <f>+C52</f>
        <v>121.92854483846159</v>
      </c>
      <c r="F7" s="207">
        <f>+C52+G52</f>
        <v>196.71764835943168</v>
      </c>
      <c r="G7" s="182"/>
      <c r="H7" s="182"/>
      <c r="I7" s="182"/>
      <c r="J7" s="178">
        <v>1500</v>
      </c>
      <c r="K7" s="206">
        <v>1704.9590933893614</v>
      </c>
      <c r="L7" s="207">
        <v>1111.9045716783342</v>
      </c>
      <c r="M7" s="206">
        <v>565.39083273070219</v>
      </c>
      <c r="N7" s="207">
        <v>98.677821777282645</v>
      </c>
      <c r="O7" s="206">
        <f>+$S$7/2</f>
        <v>15.495291595197255</v>
      </c>
      <c r="P7" s="207">
        <f>+$S$7/2</f>
        <v>15.495291595197255</v>
      </c>
      <c r="Q7" s="206">
        <f>+T7/2</f>
        <v>2.7292281303602057</v>
      </c>
      <c r="R7" s="207">
        <f>+T7/2</f>
        <v>2.7292281303602057</v>
      </c>
      <c r="S7" s="206">
        <v>30.99058319039451</v>
      </c>
      <c r="T7" s="207">
        <v>5.4584562607204115</v>
      </c>
      <c r="U7" s="240"/>
      <c r="V7" s="182"/>
      <c r="W7" s="182"/>
      <c r="X7" s="182"/>
    </row>
    <row r="8" spans="1:24" x14ac:dyDescent="0.25">
      <c r="B8" s="174">
        <v>1200</v>
      </c>
      <c r="C8" s="176">
        <f>+K32</f>
        <v>129.84885751784327</v>
      </c>
      <c r="D8" s="172">
        <f>+K32+O32</f>
        <v>210.52983369844401</v>
      </c>
      <c r="E8" s="176">
        <f>+K52</f>
        <v>114.80884752267271</v>
      </c>
      <c r="F8" s="172">
        <f>+K52+O52</f>
        <v>187.41544270183226</v>
      </c>
      <c r="G8" s="182"/>
      <c r="H8" s="182"/>
      <c r="I8" s="182"/>
      <c r="J8" s="174">
        <v>1200</v>
      </c>
      <c r="K8" s="176">
        <v>1554.2292516396838</v>
      </c>
      <c r="L8" s="172">
        <v>1065.6990769238146</v>
      </c>
      <c r="M8" s="176">
        <v>565.39083273070219</v>
      </c>
      <c r="N8" s="172">
        <v>98.677821777282645</v>
      </c>
      <c r="O8" s="176">
        <f>+$S$8/2</f>
        <v>15.495291595197255</v>
      </c>
      <c r="P8" s="172">
        <f>+$S$8/2</f>
        <v>15.495291595197255</v>
      </c>
      <c r="Q8" s="176">
        <f>+T8/2</f>
        <v>2.7292281303602057</v>
      </c>
      <c r="R8" s="172">
        <f>+T8/2</f>
        <v>2.7292281303602057</v>
      </c>
      <c r="S8" s="176">
        <v>30.99058319039451</v>
      </c>
      <c r="T8" s="172">
        <v>5.4584562607204115</v>
      </c>
      <c r="U8" s="182"/>
      <c r="V8" s="182"/>
      <c r="W8" s="182"/>
      <c r="X8" s="182"/>
    </row>
    <row r="9" spans="1:24" x14ac:dyDescent="0.25">
      <c r="B9" s="174">
        <v>750</v>
      </c>
      <c r="C9" s="176">
        <f>+S32</f>
        <v>142.82816755571437</v>
      </c>
      <c r="D9" s="172"/>
      <c r="E9" s="176">
        <f>+S52</f>
        <v>127.33979854219814</v>
      </c>
      <c r="F9" s="172"/>
      <c r="G9" s="182"/>
      <c r="H9" s="182"/>
      <c r="I9" s="182"/>
      <c r="J9" s="174">
        <v>750</v>
      </c>
      <c r="K9" s="176">
        <v>1619.5925998392656</v>
      </c>
      <c r="L9" s="172">
        <v>0</v>
      </c>
      <c r="M9" s="176">
        <v>565.39083273070219</v>
      </c>
      <c r="N9" s="172">
        <v>0</v>
      </c>
      <c r="O9" s="176">
        <f>+S9</f>
        <v>23.139108061749567</v>
      </c>
      <c r="P9" s="172">
        <v>0</v>
      </c>
      <c r="Q9" s="176">
        <f>+T9</f>
        <v>4.5289365351629502</v>
      </c>
      <c r="R9" s="172">
        <v>0</v>
      </c>
      <c r="S9" s="176">
        <v>23.139108061749567</v>
      </c>
      <c r="T9" s="172">
        <v>4.5289365351629502</v>
      </c>
      <c r="U9" s="182"/>
      <c r="V9" s="182"/>
      <c r="W9" s="182"/>
      <c r="X9" s="182"/>
    </row>
    <row r="10" spans="1:24" ht="15.75" thickBot="1" x14ac:dyDescent="0.3">
      <c r="B10" s="175">
        <v>600</v>
      </c>
      <c r="C10" s="177">
        <f>+W32</f>
        <v>134.68414727817313</v>
      </c>
      <c r="D10" s="173"/>
      <c r="E10" s="177">
        <f>+W52</f>
        <v>120.22848946317788</v>
      </c>
      <c r="F10" s="173"/>
      <c r="G10" s="182"/>
      <c r="H10" s="182"/>
      <c r="I10" s="182"/>
      <c r="J10" s="175">
        <v>600</v>
      </c>
      <c r="K10" s="177">
        <v>1469.040343953792</v>
      </c>
      <c r="L10" s="173">
        <v>0</v>
      </c>
      <c r="M10" s="177">
        <v>565.39083273070219</v>
      </c>
      <c r="N10" s="173">
        <v>0</v>
      </c>
      <c r="O10" s="177">
        <f>+S10</f>
        <v>23.139108061749567</v>
      </c>
      <c r="P10" s="173">
        <v>0</v>
      </c>
      <c r="Q10" s="177">
        <f>+T10</f>
        <v>4.5289365351629502</v>
      </c>
      <c r="R10" s="173">
        <v>0</v>
      </c>
      <c r="S10" s="177">
        <v>23.139108061749567</v>
      </c>
      <c r="T10" s="173">
        <v>4.5289365351629502</v>
      </c>
      <c r="U10" s="182"/>
      <c r="V10" s="182"/>
      <c r="W10" s="182"/>
      <c r="X10" s="182"/>
    </row>
    <row r="11" spans="1:24" s="182" customFormat="1" x14ac:dyDescent="0.25">
      <c r="K11" s="246"/>
      <c r="L11" s="240"/>
    </row>
    <row r="12" spans="1:24" s="182" customFormat="1" x14ac:dyDescent="0.25">
      <c r="K12" s="242"/>
      <c r="L12" s="242"/>
      <c r="M12" s="242"/>
      <c r="N12" s="242"/>
    </row>
    <row r="13" spans="1:24" ht="21" x14ac:dyDescent="0.35">
      <c r="B13" s="41" t="s">
        <v>120</v>
      </c>
      <c r="C13" s="42"/>
      <c r="D13" s="42"/>
      <c r="E13" s="42"/>
      <c r="F13" s="42"/>
      <c r="G13" s="42"/>
      <c r="H13" s="42"/>
      <c r="I13" s="42"/>
      <c r="J13" s="42"/>
      <c r="K13" s="241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ht="15.75" thickBot="1" x14ac:dyDescent="0.3">
      <c r="B14" s="79" t="s">
        <v>47</v>
      </c>
      <c r="E14" s="79"/>
      <c r="F14" s="79"/>
      <c r="G14" s="79"/>
      <c r="H14" s="79"/>
    </row>
    <row r="15" spans="1:24" ht="30.75" customHeight="1" x14ac:dyDescent="0.3">
      <c r="B15" s="160" t="s">
        <v>122</v>
      </c>
      <c r="C15" s="161"/>
      <c r="D15" s="161"/>
      <c r="E15" s="161"/>
      <c r="F15" s="161"/>
      <c r="G15" s="161"/>
      <c r="H15" s="162"/>
      <c r="J15" s="160" t="s">
        <v>123</v>
      </c>
      <c r="K15" s="161"/>
      <c r="L15" s="161"/>
      <c r="M15" s="161"/>
      <c r="N15" s="161"/>
      <c r="O15" s="161"/>
      <c r="P15" s="162"/>
      <c r="R15" s="160" t="s">
        <v>126</v>
      </c>
      <c r="S15" s="161"/>
      <c r="T15" s="162"/>
      <c r="V15" s="160" t="s">
        <v>128</v>
      </c>
      <c r="W15" s="161"/>
      <c r="X15" s="162"/>
    </row>
    <row r="16" spans="1:24" x14ac:dyDescent="0.25">
      <c r="B16" s="125"/>
      <c r="C16" s="90"/>
      <c r="D16" s="90"/>
      <c r="E16" s="90"/>
      <c r="F16" s="90"/>
      <c r="G16" s="90"/>
      <c r="H16" s="163"/>
      <c r="J16" s="125"/>
      <c r="K16" s="90"/>
      <c r="L16" s="90"/>
      <c r="M16" s="90"/>
      <c r="N16" s="90"/>
      <c r="O16" s="90"/>
      <c r="P16" s="163"/>
      <c r="R16" s="125"/>
      <c r="S16" s="90"/>
      <c r="T16" s="163"/>
      <c r="V16" s="125"/>
      <c r="W16" s="90"/>
      <c r="X16" s="163"/>
    </row>
    <row r="17" spans="2:24" ht="15.75" thickBot="1" x14ac:dyDescent="0.3">
      <c r="B17" s="164" t="s">
        <v>50</v>
      </c>
      <c r="C17" s="90"/>
      <c r="D17" s="90"/>
      <c r="E17" s="90"/>
      <c r="F17" s="165" t="s">
        <v>51</v>
      </c>
      <c r="G17" s="90"/>
      <c r="H17" s="163"/>
      <c r="J17" s="164" t="s">
        <v>63</v>
      </c>
      <c r="K17" s="90"/>
      <c r="L17" s="90"/>
      <c r="M17" s="90"/>
      <c r="N17" s="165" t="s">
        <v>64</v>
      </c>
      <c r="O17" s="90"/>
      <c r="P17" s="163"/>
      <c r="R17" s="164" t="s">
        <v>121</v>
      </c>
      <c r="S17" s="90"/>
      <c r="T17" s="163"/>
      <c r="V17" s="164" t="s">
        <v>133</v>
      </c>
      <c r="W17" s="90"/>
      <c r="X17" s="163"/>
    </row>
    <row r="18" spans="2:24" x14ac:dyDescent="0.25">
      <c r="B18" s="55" t="s">
        <v>52</v>
      </c>
      <c r="C18" s="56"/>
      <c r="D18" s="57"/>
      <c r="E18" s="166"/>
      <c r="F18" s="55" t="s">
        <v>52</v>
      </c>
      <c r="G18" s="56"/>
      <c r="H18" s="57"/>
      <c r="J18" s="55" t="s">
        <v>52</v>
      </c>
      <c r="K18" s="56"/>
      <c r="L18" s="57"/>
      <c r="M18" s="166"/>
      <c r="N18" s="55" t="s">
        <v>52</v>
      </c>
      <c r="O18" s="56"/>
      <c r="P18" s="57"/>
      <c r="R18" s="55" t="s">
        <v>52</v>
      </c>
      <c r="S18" s="56"/>
      <c r="T18" s="57"/>
      <c r="V18" s="55" t="s">
        <v>52</v>
      </c>
      <c r="W18" s="56"/>
      <c r="X18" s="57"/>
    </row>
    <row r="19" spans="2:24" x14ac:dyDescent="0.25">
      <c r="B19" s="58" t="s">
        <v>53</v>
      </c>
      <c r="C19" s="37">
        <f>+K7</f>
        <v>1704.9590933893614</v>
      </c>
      <c r="D19" s="59" t="s">
        <v>54</v>
      </c>
      <c r="E19" s="166"/>
      <c r="F19" s="58" t="s">
        <v>53</v>
      </c>
      <c r="G19" s="37">
        <f>+L7</f>
        <v>1111.9045716783342</v>
      </c>
      <c r="H19" s="59" t="s">
        <v>54</v>
      </c>
      <c r="J19" s="58" t="s">
        <v>53</v>
      </c>
      <c r="K19" s="37">
        <f>+K8</f>
        <v>1554.2292516396838</v>
      </c>
      <c r="L19" s="59" t="s">
        <v>54</v>
      </c>
      <c r="M19" s="166"/>
      <c r="N19" s="58" t="s">
        <v>53</v>
      </c>
      <c r="O19" s="37">
        <f>+L8</f>
        <v>1065.6990769238146</v>
      </c>
      <c r="P19" s="59" t="s">
        <v>54</v>
      </c>
      <c r="R19" s="58" t="s">
        <v>53</v>
      </c>
      <c r="S19" s="37">
        <f>+K9</f>
        <v>1619.5925998392656</v>
      </c>
      <c r="T19" s="59" t="s">
        <v>54</v>
      </c>
      <c r="V19" s="58" t="s">
        <v>53</v>
      </c>
      <c r="W19" s="37">
        <f>+K10</f>
        <v>1469.040343953792</v>
      </c>
      <c r="X19" s="59" t="s">
        <v>54</v>
      </c>
    </row>
    <row r="20" spans="2:24" x14ac:dyDescent="0.25">
      <c r="B20" s="58" t="s">
        <v>55</v>
      </c>
      <c r="C20" s="38">
        <v>40</v>
      </c>
      <c r="D20" s="59" t="s">
        <v>56</v>
      </c>
      <c r="E20" s="166"/>
      <c r="F20" s="58" t="s">
        <v>55</v>
      </c>
      <c r="G20" s="38">
        <v>40</v>
      </c>
      <c r="H20" s="59" t="s">
        <v>56</v>
      </c>
      <c r="J20" s="58" t="s">
        <v>55</v>
      </c>
      <c r="K20" s="38">
        <v>40</v>
      </c>
      <c r="L20" s="59" t="s">
        <v>56</v>
      </c>
      <c r="M20" s="166"/>
      <c r="N20" s="58" t="s">
        <v>55</v>
      </c>
      <c r="O20" s="38">
        <v>40</v>
      </c>
      <c r="P20" s="59" t="s">
        <v>56</v>
      </c>
      <c r="R20" s="58" t="s">
        <v>55</v>
      </c>
      <c r="S20" s="38">
        <v>40</v>
      </c>
      <c r="T20" s="59" t="s">
        <v>56</v>
      </c>
      <c r="V20" s="58" t="s">
        <v>55</v>
      </c>
      <c r="W20" s="38">
        <v>40</v>
      </c>
      <c r="X20" s="59" t="s">
        <v>56</v>
      </c>
    </row>
    <row r="21" spans="2:24" x14ac:dyDescent="0.25">
      <c r="B21" s="58" t="s">
        <v>57</v>
      </c>
      <c r="C21" s="39">
        <f>-PMT(NotSlowWACC,C20,C19,,1)</f>
        <v>92.228584336218049</v>
      </c>
      <c r="D21" s="59" t="s">
        <v>54</v>
      </c>
      <c r="E21" s="166"/>
      <c r="F21" s="58" t="s">
        <v>57</v>
      </c>
      <c r="G21" s="39">
        <f>-PMT(NotSlowWACC,G20,G19,,1)</f>
        <v>60.147709678476403</v>
      </c>
      <c r="H21" s="59" t="s">
        <v>54</v>
      </c>
      <c r="J21" s="58" t="s">
        <v>57</v>
      </c>
      <c r="K21" s="39">
        <f>-PMT(NotSlowWACC,K20,K19,,1)</f>
        <v>84.074957674032646</v>
      </c>
      <c r="L21" s="59" t="s">
        <v>54</v>
      </c>
      <c r="M21" s="166"/>
      <c r="N21" s="58" t="s">
        <v>57</v>
      </c>
      <c r="O21" s="39">
        <f>-PMT(NotSlowWACC,O20,O19,,1)</f>
        <v>57.648255359433278</v>
      </c>
      <c r="P21" s="59" t="s">
        <v>54</v>
      </c>
      <c r="R21" s="58" t="s">
        <v>57</v>
      </c>
      <c r="S21" s="39">
        <f>-PMT(NotSlowWACC,S20,S19,,1)</f>
        <v>87.610742840548681</v>
      </c>
      <c r="T21" s="59" t="s">
        <v>54</v>
      </c>
      <c r="V21" s="58" t="s">
        <v>57</v>
      </c>
      <c r="W21" s="39">
        <f>-PMT(NotSlowWACC,W20,W19,,1)</f>
        <v>79.466722563007437</v>
      </c>
      <c r="X21" s="59" t="s">
        <v>54</v>
      </c>
    </row>
    <row r="22" spans="2:24" x14ac:dyDescent="0.25">
      <c r="B22" s="58" t="s">
        <v>58</v>
      </c>
      <c r="C22" s="40">
        <f>+O7</f>
        <v>15.495291595197255</v>
      </c>
      <c r="D22" s="59" t="s">
        <v>54</v>
      </c>
      <c r="E22" s="166"/>
      <c r="F22" s="58" t="s">
        <v>58</v>
      </c>
      <c r="G22" s="40">
        <f>+P7</f>
        <v>15.495291595197255</v>
      </c>
      <c r="H22" s="59" t="s">
        <v>54</v>
      </c>
      <c r="J22" s="58" t="s">
        <v>58</v>
      </c>
      <c r="K22" s="40">
        <f>+O8</f>
        <v>15.495291595197255</v>
      </c>
      <c r="L22" s="59" t="s">
        <v>54</v>
      </c>
      <c r="M22" s="166"/>
      <c r="N22" s="58" t="s">
        <v>58</v>
      </c>
      <c r="O22" s="40">
        <f>+P8</f>
        <v>15.495291595197255</v>
      </c>
      <c r="P22" s="59" t="s">
        <v>54</v>
      </c>
      <c r="R22" s="58" t="s">
        <v>58</v>
      </c>
      <c r="S22" s="40">
        <f>+O9</f>
        <v>23.139108061749567</v>
      </c>
      <c r="T22" s="59" t="s">
        <v>54</v>
      </c>
      <c r="V22" s="58" t="s">
        <v>58</v>
      </c>
      <c r="W22" s="40">
        <f>+O10</f>
        <v>23.139108061749567</v>
      </c>
      <c r="X22" s="59" t="s">
        <v>54</v>
      </c>
    </row>
    <row r="23" spans="2:24" ht="15.75" thickBot="1" x14ac:dyDescent="0.3">
      <c r="B23" s="58" t="s">
        <v>59</v>
      </c>
      <c r="C23" s="36">
        <f>+C22+C21</f>
        <v>107.72387593141531</v>
      </c>
      <c r="D23" s="59" t="s">
        <v>54</v>
      </c>
      <c r="E23" s="166"/>
      <c r="F23" s="58" t="s">
        <v>59</v>
      </c>
      <c r="G23" s="36">
        <f>+G22+G21</f>
        <v>75.643001273673661</v>
      </c>
      <c r="H23" s="59" t="s">
        <v>54</v>
      </c>
      <c r="J23" s="58" t="s">
        <v>59</v>
      </c>
      <c r="K23" s="36">
        <f>+K22+K21</f>
        <v>99.570249269229905</v>
      </c>
      <c r="L23" s="59" t="s">
        <v>54</v>
      </c>
      <c r="M23" s="166"/>
      <c r="N23" s="58" t="s">
        <v>59</v>
      </c>
      <c r="O23" s="36">
        <f>+O22+O21</f>
        <v>73.143546954630537</v>
      </c>
      <c r="P23" s="59" t="s">
        <v>54</v>
      </c>
      <c r="R23" s="58" t="s">
        <v>59</v>
      </c>
      <c r="S23" s="36">
        <f>+S22+S21</f>
        <v>110.74985090229825</v>
      </c>
      <c r="T23" s="59" t="s">
        <v>54</v>
      </c>
      <c r="V23" s="58" t="s">
        <v>59</v>
      </c>
      <c r="W23" s="36">
        <f>+W22+W21</f>
        <v>102.605830624757</v>
      </c>
      <c r="X23" s="59" t="s">
        <v>54</v>
      </c>
    </row>
    <row r="24" spans="2:24" ht="15.75" thickTop="1" x14ac:dyDescent="0.25">
      <c r="B24" s="60"/>
      <c r="C24" s="34"/>
      <c r="D24" s="61"/>
      <c r="E24" s="166"/>
      <c r="F24" s="60"/>
      <c r="G24" s="34"/>
      <c r="H24" s="61"/>
      <c r="J24" s="60"/>
      <c r="K24" s="34"/>
      <c r="L24" s="61"/>
      <c r="M24" s="166"/>
      <c r="N24" s="60"/>
      <c r="O24" s="34"/>
      <c r="P24" s="61"/>
      <c r="R24" s="60"/>
      <c r="S24" s="34"/>
      <c r="T24" s="61"/>
      <c r="V24" s="60"/>
      <c r="W24" s="34"/>
      <c r="X24" s="61"/>
    </row>
    <row r="25" spans="2:24" x14ac:dyDescent="0.25">
      <c r="B25" s="62" t="s">
        <v>60</v>
      </c>
      <c r="C25" s="35"/>
      <c r="D25" s="63"/>
      <c r="E25" s="166"/>
      <c r="F25" s="62" t="s">
        <v>60</v>
      </c>
      <c r="G25" s="35"/>
      <c r="H25" s="63"/>
      <c r="J25" s="62" t="s">
        <v>60</v>
      </c>
      <c r="K25" s="35"/>
      <c r="L25" s="63"/>
      <c r="M25" s="166"/>
      <c r="N25" s="62" t="s">
        <v>60</v>
      </c>
      <c r="O25" s="35"/>
      <c r="P25" s="63"/>
      <c r="R25" s="62" t="s">
        <v>60</v>
      </c>
      <c r="S25" s="35"/>
      <c r="T25" s="63"/>
      <c r="V25" s="62" t="s">
        <v>60</v>
      </c>
      <c r="W25" s="35"/>
      <c r="X25" s="63"/>
    </row>
    <row r="26" spans="2:24" x14ac:dyDescent="0.25">
      <c r="B26" s="58" t="s">
        <v>53</v>
      </c>
      <c r="C26" s="37">
        <f>+M7</f>
        <v>565.39083273070219</v>
      </c>
      <c r="D26" s="59" t="s">
        <v>54</v>
      </c>
      <c r="E26" s="166"/>
      <c r="F26" s="58" t="s">
        <v>53</v>
      </c>
      <c r="G26" s="37">
        <f>+N7</f>
        <v>98.677821777282645</v>
      </c>
      <c r="H26" s="59" t="s">
        <v>54</v>
      </c>
      <c r="J26" s="58" t="s">
        <v>53</v>
      </c>
      <c r="K26" s="37">
        <f>+M8</f>
        <v>565.39083273070219</v>
      </c>
      <c r="L26" s="59" t="s">
        <v>54</v>
      </c>
      <c r="M26" s="166"/>
      <c r="N26" s="58" t="s">
        <v>53</v>
      </c>
      <c r="O26" s="37">
        <f>+N8</f>
        <v>98.677821777282645</v>
      </c>
      <c r="P26" s="59" t="s">
        <v>54</v>
      </c>
      <c r="R26" s="58" t="s">
        <v>53</v>
      </c>
      <c r="S26" s="37">
        <f>+M9</f>
        <v>565.39083273070219</v>
      </c>
      <c r="T26" s="59" t="s">
        <v>54</v>
      </c>
      <c r="V26" s="58" t="s">
        <v>53</v>
      </c>
      <c r="W26" s="37">
        <f>+M10</f>
        <v>565.39083273070219</v>
      </c>
      <c r="X26" s="59" t="s">
        <v>54</v>
      </c>
    </row>
    <row r="27" spans="2:24" x14ac:dyDescent="0.25">
      <c r="B27" s="58" t="s">
        <v>55</v>
      </c>
      <c r="C27" s="38">
        <v>60</v>
      </c>
      <c r="D27" s="59" t="s">
        <v>56</v>
      </c>
      <c r="E27" s="166"/>
      <c r="F27" s="58" t="s">
        <v>55</v>
      </c>
      <c r="G27" s="38">
        <v>60</v>
      </c>
      <c r="H27" s="59" t="s">
        <v>56</v>
      </c>
      <c r="J27" s="58" t="s">
        <v>55</v>
      </c>
      <c r="K27" s="38">
        <v>60</v>
      </c>
      <c r="L27" s="59" t="s">
        <v>56</v>
      </c>
      <c r="M27" s="166"/>
      <c r="N27" s="58" t="s">
        <v>55</v>
      </c>
      <c r="O27" s="38">
        <v>60</v>
      </c>
      <c r="P27" s="59" t="s">
        <v>56</v>
      </c>
      <c r="R27" s="58" t="s">
        <v>55</v>
      </c>
      <c r="S27" s="38">
        <v>60</v>
      </c>
      <c r="T27" s="59" t="s">
        <v>56</v>
      </c>
      <c r="V27" s="58" t="s">
        <v>55</v>
      </c>
      <c r="W27" s="38">
        <v>60</v>
      </c>
      <c r="X27" s="59" t="s">
        <v>56</v>
      </c>
    </row>
    <row r="28" spans="2:24" x14ac:dyDescent="0.25">
      <c r="B28" s="58" t="s">
        <v>57</v>
      </c>
      <c r="C28" s="39">
        <f>-PMT(NotSlowWACC,C27,C26,,1)</f>
        <v>27.549380118253172</v>
      </c>
      <c r="D28" s="59" t="s">
        <v>54</v>
      </c>
      <c r="E28" s="166"/>
      <c r="F28" s="58" t="s">
        <v>57</v>
      </c>
      <c r="G28" s="39">
        <f>-PMT(NotSlowWACC,G27,G26,,1)</f>
        <v>4.808201095609979</v>
      </c>
      <c r="H28" s="59" t="s">
        <v>54</v>
      </c>
      <c r="J28" s="58" t="s">
        <v>57</v>
      </c>
      <c r="K28" s="39">
        <f>-PMT(NotSlowWACC,K27,K26,,1)</f>
        <v>27.549380118253172</v>
      </c>
      <c r="L28" s="59" t="s">
        <v>54</v>
      </c>
      <c r="M28" s="166"/>
      <c r="N28" s="58" t="s">
        <v>57</v>
      </c>
      <c r="O28" s="39">
        <f>-PMT(NotSlowWACC,O27,O26,,1)</f>
        <v>4.808201095609979</v>
      </c>
      <c r="P28" s="59" t="s">
        <v>54</v>
      </c>
      <c r="R28" s="58" t="s">
        <v>57</v>
      </c>
      <c r="S28" s="39">
        <f>-PMT(NotSlowWACC,S27,S26,,1)</f>
        <v>27.549380118253172</v>
      </c>
      <c r="T28" s="59" t="s">
        <v>54</v>
      </c>
      <c r="V28" s="58" t="s">
        <v>57</v>
      </c>
      <c r="W28" s="39">
        <f>-PMT(NotSlowWACC,W27,W26,,1)</f>
        <v>27.549380118253172</v>
      </c>
      <c r="X28" s="59" t="s">
        <v>54</v>
      </c>
    </row>
    <row r="29" spans="2:24" x14ac:dyDescent="0.25">
      <c r="B29" s="58" t="s">
        <v>58</v>
      </c>
      <c r="C29" s="40">
        <f>+Q7</f>
        <v>2.7292281303602057</v>
      </c>
      <c r="D29" s="59" t="s">
        <v>54</v>
      </c>
      <c r="E29" s="166"/>
      <c r="F29" s="58" t="s">
        <v>58</v>
      </c>
      <c r="G29" s="40">
        <f>+R7</f>
        <v>2.7292281303602057</v>
      </c>
      <c r="H29" s="59" t="s">
        <v>54</v>
      </c>
      <c r="J29" s="58" t="s">
        <v>58</v>
      </c>
      <c r="K29" s="40">
        <f>+Q8</f>
        <v>2.7292281303602057</v>
      </c>
      <c r="L29" s="59" t="s">
        <v>54</v>
      </c>
      <c r="M29" s="166"/>
      <c r="N29" s="58" t="s">
        <v>58</v>
      </c>
      <c r="O29" s="40">
        <f>+R8</f>
        <v>2.7292281303602057</v>
      </c>
      <c r="P29" s="59" t="s">
        <v>54</v>
      </c>
      <c r="R29" s="58" t="s">
        <v>58</v>
      </c>
      <c r="S29" s="40">
        <f>+Q9</f>
        <v>4.5289365351629502</v>
      </c>
      <c r="T29" s="59" t="s">
        <v>54</v>
      </c>
      <c r="V29" s="58" t="s">
        <v>58</v>
      </c>
      <c r="W29" s="40">
        <f>+Q10</f>
        <v>4.5289365351629502</v>
      </c>
      <c r="X29" s="59" t="s">
        <v>54</v>
      </c>
    </row>
    <row r="30" spans="2:24" ht="15.75" thickBot="1" x14ac:dyDescent="0.3">
      <c r="B30" s="58" t="s">
        <v>59</v>
      </c>
      <c r="C30" s="36">
        <f>+C29+C28</f>
        <v>30.278608248613377</v>
      </c>
      <c r="D30" s="59" t="s">
        <v>54</v>
      </c>
      <c r="E30" s="166"/>
      <c r="F30" s="58" t="s">
        <v>59</v>
      </c>
      <c r="G30" s="36">
        <f>+G29+G28</f>
        <v>7.5374292259701843</v>
      </c>
      <c r="H30" s="59" t="s">
        <v>54</v>
      </c>
      <c r="J30" s="58" t="s">
        <v>59</v>
      </c>
      <c r="K30" s="36">
        <f>+K29+K28</f>
        <v>30.278608248613377</v>
      </c>
      <c r="L30" s="59" t="s">
        <v>54</v>
      </c>
      <c r="M30" s="166"/>
      <c r="N30" s="58" t="s">
        <v>59</v>
      </c>
      <c r="O30" s="36">
        <f>+O29+O28</f>
        <v>7.5374292259701843</v>
      </c>
      <c r="P30" s="59" t="s">
        <v>54</v>
      </c>
      <c r="R30" s="58" t="s">
        <v>59</v>
      </c>
      <c r="S30" s="36">
        <f>+S29+S28</f>
        <v>32.078316653416124</v>
      </c>
      <c r="T30" s="59" t="s">
        <v>54</v>
      </c>
      <c r="V30" s="58" t="s">
        <v>59</v>
      </c>
      <c r="W30" s="36">
        <f>+W29+W28</f>
        <v>32.078316653416124</v>
      </c>
      <c r="X30" s="59" t="s">
        <v>54</v>
      </c>
    </row>
    <row r="31" spans="2:24" ht="15.75" thickTop="1" x14ac:dyDescent="0.25">
      <c r="B31" s="60"/>
      <c r="C31" s="34"/>
      <c r="D31" s="61"/>
      <c r="E31" s="166"/>
      <c r="F31" s="60"/>
      <c r="G31" s="34"/>
      <c r="H31" s="61"/>
      <c r="J31" s="60"/>
      <c r="K31" s="34"/>
      <c r="L31" s="61"/>
      <c r="M31" s="166"/>
      <c r="N31" s="60"/>
      <c r="O31" s="34"/>
      <c r="P31" s="61"/>
      <c r="R31" s="60"/>
      <c r="S31" s="34"/>
      <c r="T31" s="61"/>
      <c r="V31" s="60"/>
      <c r="W31" s="34"/>
      <c r="X31" s="61"/>
    </row>
    <row r="32" spans="2:24" ht="60.75" thickBot="1" x14ac:dyDescent="0.3">
      <c r="B32" s="64" t="s">
        <v>61</v>
      </c>
      <c r="C32" s="65">
        <f>+C30+C23</f>
        <v>138.00248418002869</v>
      </c>
      <c r="D32" s="66" t="s">
        <v>62</v>
      </c>
      <c r="E32" s="166"/>
      <c r="F32" s="64" t="s">
        <v>61</v>
      </c>
      <c r="G32" s="65">
        <f>+G30+G23</f>
        <v>83.180430499643847</v>
      </c>
      <c r="H32" s="66" t="s">
        <v>62</v>
      </c>
      <c r="J32" s="64" t="s">
        <v>61</v>
      </c>
      <c r="K32" s="65">
        <f>+K30+K23</f>
        <v>129.84885751784327</v>
      </c>
      <c r="L32" s="66" t="s">
        <v>62</v>
      </c>
      <c r="M32" s="166"/>
      <c r="N32" s="64" t="s">
        <v>61</v>
      </c>
      <c r="O32" s="65">
        <f>+O30+O23</f>
        <v>80.680976180600723</v>
      </c>
      <c r="P32" s="66" t="s">
        <v>62</v>
      </c>
      <c r="R32" s="64" t="s">
        <v>61</v>
      </c>
      <c r="S32" s="65">
        <f>+S30+S23</f>
        <v>142.82816755571437</v>
      </c>
      <c r="T32" s="66" t="s">
        <v>62</v>
      </c>
      <c r="V32" s="64" t="s">
        <v>61</v>
      </c>
      <c r="W32" s="65">
        <f>+W30+W23</f>
        <v>134.68414727817313</v>
      </c>
      <c r="X32" s="66" t="s">
        <v>62</v>
      </c>
    </row>
    <row r="33" spans="2:24" x14ac:dyDescent="0.25">
      <c r="B33" s="125"/>
      <c r="C33" s="90"/>
      <c r="D33" s="90"/>
      <c r="E33" s="90"/>
      <c r="F33" s="90"/>
      <c r="G33" s="90"/>
      <c r="H33" s="163"/>
      <c r="J33" s="125"/>
      <c r="K33" s="90"/>
      <c r="L33" s="90"/>
      <c r="M33" s="90"/>
      <c r="N33" s="90"/>
      <c r="O33" s="90"/>
      <c r="P33" s="163"/>
      <c r="R33" s="125"/>
      <c r="S33" s="90"/>
      <c r="T33" s="163"/>
      <c r="V33" s="125"/>
      <c r="W33" s="90"/>
      <c r="X33" s="163"/>
    </row>
    <row r="34" spans="2:24" x14ac:dyDescent="0.25">
      <c r="B34" s="125"/>
      <c r="C34" s="167"/>
      <c r="D34" s="168"/>
      <c r="E34" s="90"/>
      <c r="F34" s="90"/>
      <c r="G34" s="90"/>
      <c r="H34" s="163"/>
      <c r="J34" s="125"/>
      <c r="K34" s="167"/>
      <c r="L34" s="168"/>
      <c r="M34" s="90"/>
      <c r="N34" s="90"/>
      <c r="O34" s="90"/>
      <c r="P34" s="163"/>
      <c r="R34" s="125"/>
      <c r="S34" s="167"/>
      <c r="T34" s="171"/>
      <c r="V34" s="125"/>
      <c r="W34" s="167"/>
      <c r="X34" s="171"/>
    </row>
    <row r="35" spans="2:24" ht="18.75" x14ac:dyDescent="0.3">
      <c r="B35" s="169" t="s">
        <v>124</v>
      </c>
      <c r="C35" s="90"/>
      <c r="D35" s="90"/>
      <c r="E35" s="90"/>
      <c r="F35" s="90"/>
      <c r="G35" s="90"/>
      <c r="H35" s="163"/>
      <c r="J35" s="169" t="s">
        <v>125</v>
      </c>
      <c r="K35" s="90"/>
      <c r="L35" s="90"/>
      <c r="M35" s="90"/>
      <c r="N35" s="90"/>
      <c r="O35" s="90"/>
      <c r="P35" s="163"/>
      <c r="R35" s="169" t="s">
        <v>127</v>
      </c>
      <c r="S35" s="90"/>
      <c r="T35" s="163"/>
      <c r="V35" s="169" t="s">
        <v>129</v>
      </c>
      <c r="W35" s="90"/>
      <c r="X35" s="163"/>
    </row>
    <row r="36" spans="2:24" x14ac:dyDescent="0.25">
      <c r="B36" s="125"/>
      <c r="C36" s="90"/>
      <c r="D36" s="90"/>
      <c r="E36" s="90"/>
      <c r="F36" s="90"/>
      <c r="G36" s="90"/>
      <c r="H36" s="163"/>
      <c r="J36" s="125"/>
      <c r="K36" s="90"/>
      <c r="L36" s="90"/>
      <c r="M36" s="90"/>
      <c r="N36" s="90"/>
      <c r="O36" s="90"/>
      <c r="P36" s="163"/>
      <c r="R36" s="125"/>
      <c r="S36" s="90"/>
      <c r="T36" s="163"/>
      <c r="V36" s="125"/>
      <c r="W36" s="90"/>
      <c r="X36" s="163"/>
    </row>
    <row r="37" spans="2:24" ht="15.75" thickBot="1" x14ac:dyDescent="0.3">
      <c r="B37" s="164" t="s">
        <v>50</v>
      </c>
      <c r="C37" s="90"/>
      <c r="D37" s="90"/>
      <c r="E37" s="90"/>
      <c r="F37" s="165" t="s">
        <v>51</v>
      </c>
      <c r="G37" s="90"/>
      <c r="H37" s="163"/>
      <c r="J37" s="164" t="s">
        <v>63</v>
      </c>
      <c r="K37" s="90"/>
      <c r="L37" s="90"/>
      <c r="M37" s="90"/>
      <c r="N37" s="165" t="s">
        <v>64</v>
      </c>
      <c r="O37" s="90"/>
      <c r="P37" s="163"/>
      <c r="R37" s="164" t="s">
        <v>134</v>
      </c>
      <c r="S37" s="90"/>
      <c r="T37" s="163"/>
      <c r="V37" s="164" t="s">
        <v>135</v>
      </c>
      <c r="W37" s="90"/>
      <c r="X37" s="163"/>
    </row>
    <row r="38" spans="2:24" x14ac:dyDescent="0.25">
      <c r="B38" s="55" t="s">
        <v>52</v>
      </c>
      <c r="C38" s="56"/>
      <c r="D38" s="57"/>
      <c r="E38" s="166"/>
      <c r="F38" s="55" t="s">
        <v>52</v>
      </c>
      <c r="G38" s="56"/>
      <c r="H38" s="57"/>
      <c r="J38" s="55" t="s">
        <v>52</v>
      </c>
      <c r="K38" s="56"/>
      <c r="L38" s="57"/>
      <c r="M38" s="166"/>
      <c r="N38" s="55" t="s">
        <v>52</v>
      </c>
      <c r="O38" s="56"/>
      <c r="P38" s="57"/>
      <c r="R38" s="55" t="s">
        <v>52</v>
      </c>
      <c r="S38" s="56"/>
      <c r="T38" s="57"/>
      <c r="V38" s="55" t="s">
        <v>52</v>
      </c>
      <c r="W38" s="56"/>
      <c r="X38" s="57"/>
    </row>
    <row r="39" spans="2:24" x14ac:dyDescent="0.25">
      <c r="B39" s="58" t="s">
        <v>53</v>
      </c>
      <c r="C39" s="37">
        <f>+C19</f>
        <v>1704.9590933893614</v>
      </c>
      <c r="D39" s="59" t="s">
        <v>54</v>
      </c>
      <c r="E39" s="166"/>
      <c r="F39" s="58" t="s">
        <v>53</v>
      </c>
      <c r="G39" s="37">
        <f>+G19</f>
        <v>1111.9045716783342</v>
      </c>
      <c r="H39" s="59" t="s">
        <v>54</v>
      </c>
      <c r="J39" s="58" t="s">
        <v>53</v>
      </c>
      <c r="K39" s="37">
        <f>+K19</f>
        <v>1554.2292516396838</v>
      </c>
      <c r="L39" s="59" t="s">
        <v>54</v>
      </c>
      <c r="M39" s="166"/>
      <c r="N39" s="58" t="s">
        <v>53</v>
      </c>
      <c r="O39" s="37">
        <f>+O19</f>
        <v>1065.6990769238146</v>
      </c>
      <c r="P39" s="59" t="s">
        <v>54</v>
      </c>
      <c r="R39" s="58" t="s">
        <v>53</v>
      </c>
      <c r="S39" s="37">
        <f>+S19</f>
        <v>1619.5925998392656</v>
      </c>
      <c r="T39" s="59" t="s">
        <v>54</v>
      </c>
      <c r="V39" s="58" t="s">
        <v>53</v>
      </c>
      <c r="W39" s="37">
        <f>+W19</f>
        <v>1469.040343953792</v>
      </c>
      <c r="X39" s="59" t="s">
        <v>54</v>
      </c>
    </row>
    <row r="40" spans="2:24" x14ac:dyDescent="0.25">
      <c r="B40" s="58" t="s">
        <v>55</v>
      </c>
      <c r="C40" s="38">
        <v>40</v>
      </c>
      <c r="D40" s="59" t="s">
        <v>56</v>
      </c>
      <c r="E40" s="166"/>
      <c r="F40" s="58" t="s">
        <v>55</v>
      </c>
      <c r="G40" s="38">
        <v>40</v>
      </c>
      <c r="H40" s="59" t="s">
        <v>56</v>
      </c>
      <c r="J40" s="58" t="s">
        <v>55</v>
      </c>
      <c r="K40" s="38">
        <v>40</v>
      </c>
      <c r="L40" s="59" t="s">
        <v>56</v>
      </c>
      <c r="M40" s="166"/>
      <c r="N40" s="58" t="s">
        <v>55</v>
      </c>
      <c r="O40" s="38">
        <v>40</v>
      </c>
      <c r="P40" s="59" t="s">
        <v>56</v>
      </c>
      <c r="R40" s="58" t="s">
        <v>55</v>
      </c>
      <c r="S40" s="38">
        <v>40</v>
      </c>
      <c r="T40" s="59" t="s">
        <v>56</v>
      </c>
      <c r="V40" s="58" t="s">
        <v>55</v>
      </c>
      <c r="W40" s="38">
        <v>40</v>
      </c>
      <c r="X40" s="59" t="s">
        <v>56</v>
      </c>
    </row>
    <row r="41" spans="2:24" x14ac:dyDescent="0.25">
      <c r="B41" s="58" t="s">
        <v>57</v>
      </c>
      <c r="C41" s="39">
        <f>-PMT(SlowWACC,C40,C39,,1)</f>
        <v>80.533440092728313</v>
      </c>
      <c r="D41" s="59" t="s">
        <v>54</v>
      </c>
      <c r="E41" s="166"/>
      <c r="F41" s="58" t="s">
        <v>57</v>
      </c>
      <c r="G41" s="39">
        <f>-PMT(SlowWACC,G40,G39,,1)</f>
        <v>52.520615045418189</v>
      </c>
      <c r="H41" s="59" t="s">
        <v>54</v>
      </c>
      <c r="J41" s="58" t="s">
        <v>57</v>
      </c>
      <c r="K41" s="39">
        <f>-PMT(SlowWACC,K40,K39,,1)</f>
        <v>73.413742776939429</v>
      </c>
      <c r="L41" s="59" t="s">
        <v>54</v>
      </c>
      <c r="M41" s="166"/>
      <c r="N41" s="58" t="s">
        <v>57</v>
      </c>
      <c r="O41" s="39">
        <f>-PMT(SlowWACC,O40,O39,,1)</f>
        <v>50.338106703607679</v>
      </c>
      <c r="P41" s="59" t="s">
        <v>54</v>
      </c>
      <c r="R41" s="58" t="s">
        <v>57</v>
      </c>
      <c r="S41" s="39">
        <f>-PMT(SlowWACC,S40,S39,,1)</f>
        <v>76.501168925109809</v>
      </c>
      <c r="T41" s="59" t="s">
        <v>54</v>
      </c>
      <c r="V41" s="58" t="s">
        <v>57</v>
      </c>
      <c r="W41" s="39">
        <f>-PMT(SlowWACC,W40,W39,,1)</f>
        <v>69.38985984608955</v>
      </c>
      <c r="X41" s="59" t="s">
        <v>54</v>
      </c>
    </row>
    <row r="42" spans="2:24" x14ac:dyDescent="0.25">
      <c r="B42" s="58" t="s">
        <v>58</v>
      </c>
      <c r="C42" s="40">
        <f>+C22</f>
        <v>15.495291595197255</v>
      </c>
      <c r="D42" s="59" t="s">
        <v>54</v>
      </c>
      <c r="E42" s="166"/>
      <c r="F42" s="58" t="s">
        <v>58</v>
      </c>
      <c r="G42" s="40">
        <f>+G22</f>
        <v>15.495291595197255</v>
      </c>
      <c r="H42" s="59" t="s">
        <v>54</v>
      </c>
      <c r="J42" s="58" t="s">
        <v>58</v>
      </c>
      <c r="K42" s="40">
        <f>+K22</f>
        <v>15.495291595197255</v>
      </c>
      <c r="L42" s="59" t="s">
        <v>54</v>
      </c>
      <c r="M42" s="166"/>
      <c r="N42" s="58" t="s">
        <v>58</v>
      </c>
      <c r="O42" s="40">
        <f>+O22</f>
        <v>15.495291595197255</v>
      </c>
      <c r="P42" s="59" t="s">
        <v>54</v>
      </c>
      <c r="R42" s="58" t="s">
        <v>58</v>
      </c>
      <c r="S42" s="40">
        <f>+S22</f>
        <v>23.139108061749567</v>
      </c>
      <c r="T42" s="59" t="s">
        <v>54</v>
      </c>
      <c r="V42" s="58" t="s">
        <v>58</v>
      </c>
      <c r="W42" s="40">
        <f>+W22</f>
        <v>23.139108061749567</v>
      </c>
      <c r="X42" s="59" t="s">
        <v>54</v>
      </c>
    </row>
    <row r="43" spans="2:24" ht="15.75" thickBot="1" x14ac:dyDescent="0.3">
      <c r="B43" s="58" t="s">
        <v>59</v>
      </c>
      <c r="C43" s="36">
        <f>+C42+C41</f>
        <v>96.028731687925571</v>
      </c>
      <c r="D43" s="59" t="s">
        <v>54</v>
      </c>
      <c r="E43" s="166"/>
      <c r="F43" s="58" t="s">
        <v>59</v>
      </c>
      <c r="G43" s="36">
        <f>+G42+G41</f>
        <v>68.015906640615441</v>
      </c>
      <c r="H43" s="59" t="s">
        <v>54</v>
      </c>
      <c r="J43" s="58" t="s">
        <v>59</v>
      </c>
      <c r="K43" s="36">
        <f>+K42+K41</f>
        <v>88.909034372136688</v>
      </c>
      <c r="L43" s="59" t="s">
        <v>54</v>
      </c>
      <c r="M43" s="166"/>
      <c r="N43" s="58" t="s">
        <v>59</v>
      </c>
      <c r="O43" s="36">
        <f>+O42+O41</f>
        <v>65.833398298804937</v>
      </c>
      <c r="P43" s="59" t="s">
        <v>54</v>
      </c>
      <c r="R43" s="58" t="s">
        <v>59</v>
      </c>
      <c r="S43" s="36">
        <f>+S42+S41</f>
        <v>99.640276986859377</v>
      </c>
      <c r="T43" s="59" t="s">
        <v>54</v>
      </c>
      <c r="V43" s="58" t="s">
        <v>59</v>
      </c>
      <c r="W43" s="36">
        <f>+W42+W41</f>
        <v>92.528967907839117</v>
      </c>
      <c r="X43" s="59" t="s">
        <v>54</v>
      </c>
    </row>
    <row r="44" spans="2:24" ht="15.75" thickTop="1" x14ac:dyDescent="0.25">
      <c r="B44" s="60"/>
      <c r="C44" s="34"/>
      <c r="D44" s="61"/>
      <c r="E44" s="166"/>
      <c r="F44" s="60"/>
      <c r="G44" s="34"/>
      <c r="H44" s="61"/>
      <c r="J44" s="60"/>
      <c r="K44" s="34"/>
      <c r="L44" s="61"/>
      <c r="M44" s="166"/>
      <c r="N44" s="60"/>
      <c r="O44" s="34"/>
      <c r="P44" s="61"/>
      <c r="R44" s="60"/>
      <c r="S44" s="34"/>
      <c r="T44" s="61"/>
      <c r="V44" s="60"/>
      <c r="W44" s="34"/>
      <c r="X44" s="61"/>
    </row>
    <row r="45" spans="2:24" x14ac:dyDescent="0.25">
      <c r="B45" s="62" t="s">
        <v>60</v>
      </c>
      <c r="C45" s="35"/>
      <c r="D45" s="63"/>
      <c r="E45" s="166"/>
      <c r="F45" s="62" t="s">
        <v>60</v>
      </c>
      <c r="G45" s="35"/>
      <c r="H45" s="63"/>
      <c r="J45" s="62" t="s">
        <v>60</v>
      </c>
      <c r="K45" s="35"/>
      <c r="L45" s="63"/>
      <c r="M45" s="166"/>
      <c r="N45" s="62" t="s">
        <v>60</v>
      </c>
      <c r="O45" s="35"/>
      <c r="P45" s="63"/>
      <c r="R45" s="62" t="s">
        <v>60</v>
      </c>
      <c r="S45" s="35"/>
      <c r="T45" s="63"/>
      <c r="V45" s="62" t="s">
        <v>60</v>
      </c>
      <c r="W45" s="35"/>
      <c r="X45" s="63"/>
    </row>
    <row r="46" spans="2:24" x14ac:dyDescent="0.25">
      <c r="B46" s="58" t="s">
        <v>53</v>
      </c>
      <c r="C46" s="37">
        <f>+C26</f>
        <v>565.39083273070219</v>
      </c>
      <c r="D46" s="59" t="s">
        <v>54</v>
      </c>
      <c r="E46" s="166"/>
      <c r="F46" s="58" t="s">
        <v>53</v>
      </c>
      <c r="G46" s="37">
        <f>+G26</f>
        <v>98.677821777282645</v>
      </c>
      <c r="H46" s="59" t="s">
        <v>54</v>
      </c>
      <c r="J46" s="58" t="s">
        <v>53</v>
      </c>
      <c r="K46" s="37">
        <f>+K26</f>
        <v>565.39083273070219</v>
      </c>
      <c r="L46" s="59" t="s">
        <v>54</v>
      </c>
      <c r="M46" s="166"/>
      <c r="N46" s="58" t="s">
        <v>53</v>
      </c>
      <c r="O46" s="37">
        <f>+O26</f>
        <v>98.677821777282645</v>
      </c>
      <c r="P46" s="59" t="s">
        <v>54</v>
      </c>
      <c r="R46" s="58" t="s">
        <v>53</v>
      </c>
      <c r="S46" s="37">
        <f>+S26</f>
        <v>565.39083273070219</v>
      </c>
      <c r="T46" s="59" t="s">
        <v>54</v>
      </c>
      <c r="V46" s="58" t="s">
        <v>53</v>
      </c>
      <c r="W46" s="37">
        <f>+W26</f>
        <v>565.39083273070219</v>
      </c>
      <c r="X46" s="59" t="s">
        <v>54</v>
      </c>
    </row>
    <row r="47" spans="2:24" x14ac:dyDescent="0.25">
      <c r="B47" s="58" t="s">
        <v>55</v>
      </c>
      <c r="C47" s="38">
        <v>60</v>
      </c>
      <c r="D47" s="59" t="s">
        <v>56</v>
      </c>
      <c r="E47" s="166"/>
      <c r="F47" s="58" t="s">
        <v>55</v>
      </c>
      <c r="G47" s="38">
        <v>60</v>
      </c>
      <c r="H47" s="59" t="s">
        <v>56</v>
      </c>
      <c r="J47" s="58" t="s">
        <v>55</v>
      </c>
      <c r="K47" s="38">
        <v>60</v>
      </c>
      <c r="L47" s="59" t="s">
        <v>56</v>
      </c>
      <c r="M47" s="166"/>
      <c r="N47" s="58" t="s">
        <v>55</v>
      </c>
      <c r="O47" s="38">
        <v>60</v>
      </c>
      <c r="P47" s="59" t="s">
        <v>56</v>
      </c>
      <c r="R47" s="58" t="s">
        <v>55</v>
      </c>
      <c r="S47" s="38">
        <v>60</v>
      </c>
      <c r="T47" s="59" t="s">
        <v>56</v>
      </c>
      <c r="V47" s="58" t="s">
        <v>55</v>
      </c>
      <c r="W47" s="38">
        <v>60</v>
      </c>
      <c r="X47" s="59" t="s">
        <v>56</v>
      </c>
    </row>
    <row r="48" spans="2:24" x14ac:dyDescent="0.25">
      <c r="B48" s="58" t="s">
        <v>57</v>
      </c>
      <c r="C48" s="39">
        <f>-PMT(SlowWACC,C47,C46,,1)</f>
        <v>23.17058502017581</v>
      </c>
      <c r="D48" s="59" t="s">
        <v>54</v>
      </c>
      <c r="E48" s="166"/>
      <c r="F48" s="58" t="s">
        <v>57</v>
      </c>
      <c r="G48" s="39">
        <f>-PMT(SlowWACC,G47,G46,,1)</f>
        <v>4.0439687499944235</v>
      </c>
      <c r="H48" s="59" t="s">
        <v>54</v>
      </c>
      <c r="J48" s="58" t="s">
        <v>57</v>
      </c>
      <c r="K48" s="39">
        <f>-PMT(SlowWACC,K47,K46,,1)</f>
        <v>23.17058502017581</v>
      </c>
      <c r="L48" s="59" t="s">
        <v>54</v>
      </c>
      <c r="M48" s="166"/>
      <c r="N48" s="58" t="s">
        <v>57</v>
      </c>
      <c r="O48" s="39">
        <f>-PMT(SlowWACC,O47,O46,,1)</f>
        <v>4.0439687499944235</v>
      </c>
      <c r="P48" s="59" t="s">
        <v>54</v>
      </c>
      <c r="R48" s="58" t="s">
        <v>57</v>
      </c>
      <c r="S48" s="39">
        <f>-PMT(SlowWACC,S47,S46,,1)</f>
        <v>23.17058502017581</v>
      </c>
      <c r="T48" s="59" t="s">
        <v>54</v>
      </c>
      <c r="V48" s="58" t="s">
        <v>57</v>
      </c>
      <c r="W48" s="39">
        <f>-PMT(SlowWACC,W47,W46,,1)</f>
        <v>23.17058502017581</v>
      </c>
      <c r="X48" s="59" t="s">
        <v>54</v>
      </c>
    </row>
    <row r="49" spans="2:25" x14ac:dyDescent="0.25">
      <c r="B49" s="58" t="s">
        <v>58</v>
      </c>
      <c r="C49" s="40">
        <f>+C29</f>
        <v>2.7292281303602057</v>
      </c>
      <c r="D49" s="59" t="s">
        <v>54</v>
      </c>
      <c r="E49" s="166"/>
      <c r="F49" s="58" t="s">
        <v>58</v>
      </c>
      <c r="G49" s="40">
        <f>+G29</f>
        <v>2.7292281303602057</v>
      </c>
      <c r="H49" s="59" t="s">
        <v>54</v>
      </c>
      <c r="J49" s="58" t="s">
        <v>58</v>
      </c>
      <c r="K49" s="40">
        <f>+K29</f>
        <v>2.7292281303602057</v>
      </c>
      <c r="L49" s="59" t="s">
        <v>54</v>
      </c>
      <c r="M49" s="166"/>
      <c r="N49" s="58" t="s">
        <v>58</v>
      </c>
      <c r="O49" s="40">
        <f>+O29</f>
        <v>2.7292281303602057</v>
      </c>
      <c r="P49" s="59" t="s">
        <v>54</v>
      </c>
      <c r="R49" s="58" t="s">
        <v>58</v>
      </c>
      <c r="S49" s="40">
        <f>+S29</f>
        <v>4.5289365351629502</v>
      </c>
      <c r="T49" s="59" t="s">
        <v>54</v>
      </c>
      <c r="V49" s="58" t="s">
        <v>58</v>
      </c>
      <c r="W49" s="40">
        <f>+W29</f>
        <v>4.5289365351629502</v>
      </c>
      <c r="X49" s="59" t="s">
        <v>54</v>
      </c>
    </row>
    <row r="50" spans="2:25" ht="15.75" thickBot="1" x14ac:dyDescent="0.3">
      <c r="B50" s="58" t="s">
        <v>59</v>
      </c>
      <c r="C50" s="36">
        <f>+C49+C48</f>
        <v>25.899813150536016</v>
      </c>
      <c r="D50" s="59" t="s">
        <v>54</v>
      </c>
      <c r="E50" s="166"/>
      <c r="F50" s="58" t="s">
        <v>59</v>
      </c>
      <c r="G50" s="36">
        <f>+G49+G48</f>
        <v>6.7731968803546287</v>
      </c>
      <c r="H50" s="59" t="s">
        <v>54</v>
      </c>
      <c r="J50" s="58" t="s">
        <v>59</v>
      </c>
      <c r="K50" s="36">
        <f>+K49+K48</f>
        <v>25.899813150536016</v>
      </c>
      <c r="L50" s="59" t="s">
        <v>54</v>
      </c>
      <c r="M50" s="166"/>
      <c r="N50" s="58" t="s">
        <v>59</v>
      </c>
      <c r="O50" s="36">
        <f>+O49+O48</f>
        <v>6.7731968803546287</v>
      </c>
      <c r="P50" s="59" t="s">
        <v>54</v>
      </c>
      <c r="R50" s="58" t="s">
        <v>59</v>
      </c>
      <c r="S50" s="36">
        <f>+S49+S48</f>
        <v>27.699521555338762</v>
      </c>
      <c r="T50" s="59" t="s">
        <v>54</v>
      </c>
      <c r="V50" s="58" t="s">
        <v>59</v>
      </c>
      <c r="W50" s="36">
        <f>+W49+W48</f>
        <v>27.699521555338762</v>
      </c>
      <c r="X50" s="59" t="s">
        <v>54</v>
      </c>
    </row>
    <row r="51" spans="2:25" ht="15.75" thickTop="1" x14ac:dyDescent="0.25">
      <c r="B51" s="60"/>
      <c r="C51" s="34"/>
      <c r="D51" s="61"/>
      <c r="E51" s="166"/>
      <c r="F51" s="60"/>
      <c r="G51" s="34"/>
      <c r="H51" s="61"/>
      <c r="J51" s="60"/>
      <c r="K51" s="34"/>
      <c r="L51" s="61"/>
      <c r="M51" s="166"/>
      <c r="N51" s="60"/>
      <c r="O51" s="34"/>
      <c r="P51" s="61"/>
      <c r="R51" s="60"/>
      <c r="S51" s="34"/>
      <c r="T51" s="61"/>
      <c r="V51" s="60"/>
      <c r="W51" s="34"/>
      <c r="X51" s="61"/>
    </row>
    <row r="52" spans="2:25" ht="60.75" thickBot="1" x14ac:dyDescent="0.3">
      <c r="B52" s="64" t="s">
        <v>61</v>
      </c>
      <c r="C52" s="65">
        <f>+C50+C43</f>
        <v>121.92854483846159</v>
      </c>
      <c r="D52" s="66" t="s">
        <v>62</v>
      </c>
      <c r="E52" s="170"/>
      <c r="F52" s="64" t="s">
        <v>61</v>
      </c>
      <c r="G52" s="65">
        <f>+G50+G43</f>
        <v>74.789103520970073</v>
      </c>
      <c r="H52" s="66" t="s">
        <v>62</v>
      </c>
      <c r="J52" s="64" t="s">
        <v>61</v>
      </c>
      <c r="K52" s="65">
        <f>+K50+K43</f>
        <v>114.80884752267271</v>
      </c>
      <c r="L52" s="66" t="s">
        <v>62</v>
      </c>
      <c r="M52" s="170"/>
      <c r="N52" s="64" t="s">
        <v>61</v>
      </c>
      <c r="O52" s="65">
        <f>+O50+O43</f>
        <v>72.606595179159569</v>
      </c>
      <c r="P52" s="66" t="s">
        <v>62</v>
      </c>
      <c r="R52" s="64" t="s">
        <v>61</v>
      </c>
      <c r="S52" s="65">
        <f>+S50+S43</f>
        <v>127.33979854219814</v>
      </c>
      <c r="T52" s="66" t="s">
        <v>62</v>
      </c>
      <c r="V52" s="64" t="s">
        <v>61</v>
      </c>
      <c r="W52" s="65">
        <f>+W50+W43</f>
        <v>120.22848946317788</v>
      </c>
      <c r="X52" s="66" t="s">
        <v>62</v>
      </c>
    </row>
    <row r="53" spans="2:25" s="79" customFormat="1" x14ac:dyDescent="0.25">
      <c r="B53" s="182" t="s">
        <v>177</v>
      </c>
      <c r="Y53" s="182"/>
    </row>
    <row r="54" spans="2:25" s="79" customFormat="1" hidden="1" x14ac:dyDescent="0.25">
      <c r="E54"/>
      <c r="Y54" s="182"/>
    </row>
    <row r="55" spans="2:25" s="79" customFormat="1" hidden="1" x14ac:dyDescent="0.25">
      <c r="E55"/>
      <c r="Y55" s="182"/>
    </row>
    <row r="56" spans="2:25" s="79" customFormat="1" hidden="1" x14ac:dyDescent="0.25">
      <c r="E56"/>
      <c r="Y56" s="182"/>
    </row>
    <row r="57" spans="2:25" s="79" customFormat="1" hidden="1" x14ac:dyDescent="0.25">
      <c r="E57"/>
      <c r="Y57" s="182"/>
    </row>
    <row r="58" spans="2:25" s="79" customFormat="1" hidden="1" x14ac:dyDescent="0.25">
      <c r="E58"/>
      <c r="Y58" s="182"/>
    </row>
    <row r="59" spans="2:25" hidden="1" x14ac:dyDescent="0.25"/>
    <row r="60" spans="2:25" hidden="1" x14ac:dyDescent="0.25"/>
    <row r="61" spans="2:25" hidden="1" x14ac:dyDescent="0.25"/>
    <row r="62" spans="2:25" hidden="1" x14ac:dyDescent="0.25"/>
    <row r="63" spans="2:25" hidden="1" x14ac:dyDescent="0.25"/>
    <row r="64" spans="2:25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</sheetData>
  <mergeCells count="12">
    <mergeCell ref="S5:T5"/>
    <mergeCell ref="J4:T4"/>
    <mergeCell ref="D2:D3"/>
    <mergeCell ref="C5:D5"/>
    <mergeCell ref="E5:F5"/>
    <mergeCell ref="B4:F4"/>
    <mergeCell ref="B5:B6"/>
    <mergeCell ref="O5:P5"/>
    <mergeCell ref="Q5:R5"/>
    <mergeCell ref="J5:J6"/>
    <mergeCell ref="K5:L5"/>
    <mergeCell ref="M5:N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2"/>
  <sheetViews>
    <sheetView workbookViewId="0"/>
  </sheetViews>
  <sheetFormatPr defaultColWidth="0" defaultRowHeight="15" zeroHeight="1" x14ac:dyDescent="0.25"/>
  <cols>
    <col min="1" max="1" width="30.85546875" style="182" customWidth="1"/>
    <col min="2" max="31" width="12.7109375" style="182" customWidth="1"/>
    <col min="32" max="32" width="4.140625" style="182" customWidth="1"/>
    <col min="33" max="16384" width="4.140625" style="182" hidden="1"/>
  </cols>
  <sheetData>
    <row r="1" spans="1:31" ht="21" x14ac:dyDescent="0.35">
      <c r="A1" s="105" t="s">
        <v>33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x14ac:dyDescent="0.25">
      <c r="A2" s="91" t="str">
        <f>+Overview!B6</f>
        <v xml:space="preserve">Option 1:  600 MW in 2027 </v>
      </c>
      <c r="B2" s="9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x14ac:dyDescent="0.25">
      <c r="A3" s="79" t="s">
        <v>37</v>
      </c>
      <c r="B3" s="92">
        <f>+Overview!C13</f>
        <v>4.8000000000000001E-2</v>
      </c>
      <c r="C3" s="79" t="s">
        <v>105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x14ac:dyDescent="0.25">
      <c r="A4"/>
      <c r="B4" s="92">
        <f>+Overview!C14</f>
        <v>3.7999999999999999E-2</v>
      </c>
      <c r="C4" s="79" t="s">
        <v>106</v>
      </c>
      <c r="D4" s="79"/>
      <c r="E4" s="79"/>
      <c r="F4" s="79"/>
      <c r="G4" s="79"/>
      <c r="H4" s="94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</row>
    <row r="5" spans="1:31" ht="15.75" thickBot="1" x14ac:dyDescent="0.3">
      <c r="A5" s="155" t="s">
        <v>112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</row>
    <row r="6" spans="1:31" ht="15.75" thickTop="1" x14ac:dyDescent="0.25">
      <c r="A6" s="71" t="str">
        <f>+A2</f>
        <v xml:space="preserve">Option 1:  600 MW in 2027 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x14ac:dyDescent="0.25">
      <c r="A7" s="73" t="s">
        <v>72</v>
      </c>
      <c r="B7" s="74" t="str">
        <f>+Overview!D6</f>
        <v xml:space="preserve">Slow Change 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1:31" x14ac:dyDescent="0.25">
      <c r="A8" s="2" t="s">
        <v>34</v>
      </c>
      <c r="B8" s="1">
        <v>0</v>
      </c>
      <c r="C8" s="1">
        <f>+B8+1</f>
        <v>1</v>
      </c>
      <c r="D8" s="1">
        <f t="shared" ref="D8:X8" si="0">+C8+1</f>
        <v>2</v>
      </c>
      <c r="E8" s="1">
        <f t="shared" si="0"/>
        <v>3</v>
      </c>
      <c r="F8" s="1">
        <f t="shared" si="0"/>
        <v>4</v>
      </c>
      <c r="G8" s="1">
        <f t="shared" si="0"/>
        <v>5</v>
      </c>
      <c r="H8" s="8">
        <f t="shared" si="0"/>
        <v>6</v>
      </c>
      <c r="I8" s="1">
        <f t="shared" si="0"/>
        <v>7</v>
      </c>
      <c r="J8" s="1">
        <f t="shared" si="0"/>
        <v>8</v>
      </c>
      <c r="K8" s="1">
        <f t="shared" si="0"/>
        <v>9</v>
      </c>
      <c r="L8" s="1">
        <f t="shared" si="0"/>
        <v>10</v>
      </c>
      <c r="M8" s="1">
        <f t="shared" si="0"/>
        <v>11</v>
      </c>
      <c r="N8" s="1">
        <f t="shared" si="0"/>
        <v>12</v>
      </c>
      <c r="O8" s="1">
        <f t="shared" si="0"/>
        <v>13</v>
      </c>
      <c r="P8" s="1">
        <f t="shared" si="0"/>
        <v>14</v>
      </c>
      <c r="Q8" s="1">
        <f t="shared" si="0"/>
        <v>15</v>
      </c>
      <c r="R8" s="1">
        <f t="shared" si="0"/>
        <v>16</v>
      </c>
      <c r="S8" s="1">
        <f t="shared" si="0"/>
        <v>17</v>
      </c>
      <c r="T8" s="1">
        <f t="shared" si="0"/>
        <v>18</v>
      </c>
      <c r="U8" s="1">
        <f t="shared" si="0"/>
        <v>19</v>
      </c>
      <c r="V8" s="1">
        <f t="shared" si="0"/>
        <v>20</v>
      </c>
      <c r="W8" s="1">
        <f t="shared" si="0"/>
        <v>21</v>
      </c>
      <c r="X8" s="1">
        <f t="shared" si="0"/>
        <v>22</v>
      </c>
      <c r="Y8" s="1">
        <f t="shared" ref="Y8" si="1">+X8+1</f>
        <v>23</v>
      </c>
      <c r="Z8" s="1">
        <f t="shared" ref="Z8" si="2">+Y8+1</f>
        <v>24</v>
      </c>
      <c r="AA8" s="1">
        <f t="shared" ref="AA8" si="3">+Z8+1</f>
        <v>25</v>
      </c>
      <c r="AB8" s="1">
        <f t="shared" ref="AB8" si="4">+AA8+1</f>
        <v>26</v>
      </c>
      <c r="AC8" s="1">
        <f t="shared" ref="AC8" si="5">+AB8+1</f>
        <v>27</v>
      </c>
      <c r="AD8" s="1">
        <f t="shared" ref="AD8:AE8" si="6">+AC8+1</f>
        <v>28</v>
      </c>
      <c r="AE8" s="1">
        <f t="shared" si="6"/>
        <v>29</v>
      </c>
    </row>
    <row r="9" spans="1:31" x14ac:dyDescent="0.25">
      <c r="A9" t="s">
        <v>35</v>
      </c>
      <c r="B9" s="4">
        <v>1</v>
      </c>
      <c r="C9" s="4">
        <f t="shared" ref="C9:AE9" si="7">1/((1+SlowWACC)^((C10-$B$10)/365))</f>
        <v>0.96339113680154143</v>
      </c>
      <c r="D9" s="4">
        <f t="shared" si="7"/>
        <v>0.9281224824677663</v>
      </c>
      <c r="E9" s="4">
        <f t="shared" si="7"/>
        <v>0.89414497347569</v>
      </c>
      <c r="F9" s="4">
        <f t="shared" si="7"/>
        <v>0.86132332774791709</v>
      </c>
      <c r="G9" s="4">
        <f t="shared" si="7"/>
        <v>0.82979125987275248</v>
      </c>
      <c r="H9" s="4">
        <f t="shared" si="7"/>
        <v>0.79941354515679419</v>
      </c>
      <c r="I9" s="4">
        <f t="shared" si="7"/>
        <v>0.77014792404315435</v>
      </c>
      <c r="J9" s="4">
        <f t="shared" si="7"/>
        <v>0.74187787492274582</v>
      </c>
      <c r="K9" s="4">
        <f t="shared" si="7"/>
        <v>0.71471856928973576</v>
      </c>
      <c r="L9" s="4">
        <f t="shared" si="7"/>
        <v>0.68855353496120986</v>
      </c>
      <c r="M9" s="4">
        <f t="shared" si="7"/>
        <v>0.66334637279499975</v>
      </c>
      <c r="N9" s="4">
        <f t="shared" si="7"/>
        <v>0.63899672001101238</v>
      </c>
      <c r="O9" s="4">
        <f t="shared" si="7"/>
        <v>0.61560377650386555</v>
      </c>
      <c r="P9" s="4">
        <f t="shared" si="7"/>
        <v>0.59306722206538098</v>
      </c>
      <c r="Q9" s="4">
        <f t="shared" si="7"/>
        <v>0.57135570526529955</v>
      </c>
      <c r="R9" s="4">
        <f t="shared" si="7"/>
        <v>0.55038278129988927</v>
      </c>
      <c r="S9" s="4">
        <f t="shared" si="7"/>
        <v>0.53023389335249438</v>
      </c>
      <c r="T9" s="4">
        <f t="shared" si="7"/>
        <v>0.51082263328756683</v>
      </c>
      <c r="U9" s="4">
        <f t="shared" si="7"/>
        <v>0.49212199738686585</v>
      </c>
      <c r="V9" s="4">
        <f t="shared" si="7"/>
        <v>0.47405752872437462</v>
      </c>
      <c r="W9" s="4">
        <f t="shared" si="7"/>
        <v>0.45670282150710462</v>
      </c>
      <c r="X9" s="4">
        <f t="shared" si="7"/>
        <v>0.43998345039220105</v>
      </c>
      <c r="Y9" s="4">
        <f t="shared" si="7"/>
        <v>0.42387615644720705</v>
      </c>
      <c r="Z9" s="4">
        <f t="shared" si="7"/>
        <v>0.40831680818483218</v>
      </c>
      <c r="AA9" s="4">
        <f t="shared" si="7"/>
        <v>0.39336879401236235</v>
      </c>
      <c r="AB9" s="4">
        <f t="shared" si="7"/>
        <v>0.37896800964582117</v>
      </c>
      <c r="AC9" s="4">
        <f t="shared" si="7"/>
        <v>0.3650944216241051</v>
      </c>
      <c r="AD9" s="4">
        <f t="shared" si="7"/>
        <v>0.35169279200116749</v>
      </c>
      <c r="AE9" s="4">
        <f t="shared" si="7"/>
        <v>0.33881771869091287</v>
      </c>
    </row>
    <row r="10" spans="1:31" x14ac:dyDescent="0.25">
      <c r="A10" s="5" t="s">
        <v>70</v>
      </c>
      <c r="B10" s="6">
        <v>44013</v>
      </c>
      <c r="C10" s="6">
        <f>EDATE(B10,12)</f>
        <v>44378</v>
      </c>
      <c r="D10" s="6">
        <f t="shared" ref="D10:X10" si="8">EDATE(C10,12)</f>
        <v>44743</v>
      </c>
      <c r="E10" s="6">
        <f t="shared" si="8"/>
        <v>45108</v>
      </c>
      <c r="F10" s="6">
        <f t="shared" si="8"/>
        <v>45474</v>
      </c>
      <c r="G10" s="6">
        <f t="shared" si="8"/>
        <v>45839</v>
      </c>
      <c r="H10" s="6">
        <f t="shared" si="8"/>
        <v>46204</v>
      </c>
      <c r="I10" s="6">
        <f t="shared" si="8"/>
        <v>46569</v>
      </c>
      <c r="J10" s="6">
        <f t="shared" si="8"/>
        <v>46935</v>
      </c>
      <c r="K10" s="6">
        <f t="shared" si="8"/>
        <v>47300</v>
      </c>
      <c r="L10" s="6">
        <f t="shared" si="8"/>
        <v>47665</v>
      </c>
      <c r="M10" s="6">
        <f t="shared" si="8"/>
        <v>48030</v>
      </c>
      <c r="N10" s="6">
        <f t="shared" si="8"/>
        <v>48396</v>
      </c>
      <c r="O10" s="6">
        <f t="shared" si="8"/>
        <v>48761</v>
      </c>
      <c r="P10" s="6">
        <f t="shared" si="8"/>
        <v>49126</v>
      </c>
      <c r="Q10" s="6">
        <f t="shared" si="8"/>
        <v>49491</v>
      </c>
      <c r="R10" s="6">
        <f t="shared" si="8"/>
        <v>49857</v>
      </c>
      <c r="S10" s="6">
        <f t="shared" si="8"/>
        <v>50222</v>
      </c>
      <c r="T10" s="6">
        <f t="shared" si="8"/>
        <v>50587</v>
      </c>
      <c r="U10" s="6">
        <f t="shared" si="8"/>
        <v>50952</v>
      </c>
      <c r="V10" s="6">
        <f t="shared" si="8"/>
        <v>51318</v>
      </c>
      <c r="W10" s="6">
        <f t="shared" si="8"/>
        <v>51683</v>
      </c>
      <c r="X10" s="6">
        <f t="shared" si="8"/>
        <v>52048</v>
      </c>
      <c r="Y10" s="6">
        <f t="shared" ref="Y10" si="9">EDATE(X10,12)</f>
        <v>52413</v>
      </c>
      <c r="Z10" s="6">
        <f t="shared" ref="Z10" si="10">EDATE(Y10,12)</f>
        <v>52779</v>
      </c>
      <c r="AA10" s="6">
        <f t="shared" ref="AA10" si="11">EDATE(Z10,12)</f>
        <v>53144</v>
      </c>
      <c r="AB10" s="6">
        <f t="shared" ref="AB10" si="12">EDATE(AA10,12)</f>
        <v>53509</v>
      </c>
      <c r="AC10" s="6">
        <f t="shared" ref="AC10" si="13">EDATE(AB10,12)</f>
        <v>53874</v>
      </c>
      <c r="AD10" s="6">
        <f t="shared" ref="AD10:AE10" si="14">EDATE(AC10,12)</f>
        <v>54240</v>
      </c>
      <c r="AE10" s="6">
        <f t="shared" si="14"/>
        <v>54605</v>
      </c>
    </row>
    <row r="11" spans="1:31" x14ac:dyDescent="0.25">
      <c r="A11" s="44" t="s">
        <v>39</v>
      </c>
      <c r="B11" s="45" t="s">
        <v>2</v>
      </c>
      <c r="C11" s="45" t="s">
        <v>3</v>
      </c>
      <c r="D11" s="45" t="s">
        <v>4</v>
      </c>
      <c r="E11" s="45" t="s">
        <v>5</v>
      </c>
      <c r="F11" s="45" t="s">
        <v>6</v>
      </c>
      <c r="G11" s="45" t="s">
        <v>7</v>
      </c>
      <c r="H11" s="45" t="s">
        <v>8</v>
      </c>
      <c r="I11" s="45" t="s">
        <v>9</v>
      </c>
      <c r="J11" s="45" t="s">
        <v>10</v>
      </c>
      <c r="K11" s="45" t="s">
        <v>11</v>
      </c>
      <c r="L11" s="45" t="s">
        <v>12</v>
      </c>
      <c r="M11" s="45" t="s">
        <v>13</v>
      </c>
      <c r="N11" s="45" t="s">
        <v>14</v>
      </c>
      <c r="O11" s="45" t="s">
        <v>15</v>
      </c>
      <c r="P11" s="45" t="s">
        <v>16</v>
      </c>
      <c r="Q11" s="45" t="s">
        <v>17</v>
      </c>
      <c r="R11" s="45" t="s">
        <v>18</v>
      </c>
      <c r="S11" s="45" t="s">
        <v>19</v>
      </c>
      <c r="T11" s="45" t="s">
        <v>20</v>
      </c>
      <c r="U11" s="45" t="s">
        <v>21</v>
      </c>
      <c r="V11" s="45" t="s">
        <v>22</v>
      </c>
      <c r="W11" s="45" t="s">
        <v>23</v>
      </c>
      <c r="X11" s="45" t="s">
        <v>24</v>
      </c>
      <c r="Y11" s="45" t="s">
        <v>25</v>
      </c>
      <c r="Z11" s="45" t="s">
        <v>26</v>
      </c>
      <c r="AA11" s="45" t="s">
        <v>27</v>
      </c>
      <c r="AB11" s="45" t="s">
        <v>28</v>
      </c>
      <c r="AC11" s="45" t="s">
        <v>29</v>
      </c>
      <c r="AD11" s="45" t="s">
        <v>30</v>
      </c>
      <c r="AE11" s="45" t="s">
        <v>31</v>
      </c>
    </row>
    <row r="12" spans="1:31" x14ac:dyDescent="0.25">
      <c r="A12" s="52" t="s">
        <v>111</v>
      </c>
      <c r="B12" s="77">
        <v>0</v>
      </c>
      <c r="C12" s="77">
        <v>-6.4915514832494857E-4</v>
      </c>
      <c r="D12" s="77">
        <v>-0.40638829785094488</v>
      </c>
      <c r="E12" s="77">
        <v>-0.32299662540888113</v>
      </c>
      <c r="F12" s="77">
        <v>-11.169945518316098</v>
      </c>
      <c r="G12" s="77">
        <v>10.692396604760459</v>
      </c>
      <c r="H12" s="77">
        <v>11.037319776485411</v>
      </c>
      <c r="I12" s="77">
        <v>99.129524147496056</v>
      </c>
      <c r="J12" s="77">
        <v>270.05893335632675</v>
      </c>
      <c r="K12" s="77">
        <v>101.51116563072404</v>
      </c>
      <c r="L12" s="77">
        <v>90.951016404135743</v>
      </c>
      <c r="M12" s="77">
        <v>80.172821385228517</v>
      </c>
      <c r="N12" s="77">
        <v>85.744534129953905</v>
      </c>
      <c r="O12" s="77">
        <v>84.448273971674382</v>
      </c>
      <c r="P12" s="77">
        <v>84.86903112409621</v>
      </c>
      <c r="Q12" s="77">
        <v>75.457037927301485</v>
      </c>
      <c r="R12" s="77">
        <v>76.774956843354616</v>
      </c>
      <c r="S12" s="77">
        <v>79.645775791291712</v>
      </c>
      <c r="T12" s="77">
        <v>209.41225029873883</v>
      </c>
      <c r="U12" s="77">
        <v>105.63908716217487</v>
      </c>
      <c r="V12" s="77">
        <v>74.047155393657491</v>
      </c>
      <c r="W12" s="77">
        <v>70.076876877903317</v>
      </c>
      <c r="X12" s="77">
        <v>71.346910147011968</v>
      </c>
      <c r="Y12" s="77">
        <v>76.417473677800601</v>
      </c>
      <c r="Z12" s="77">
        <v>79.069422719205633</v>
      </c>
      <c r="AA12" s="77">
        <v>69.238183311889216</v>
      </c>
      <c r="AB12" s="77">
        <v>63.427149225201916</v>
      </c>
      <c r="AC12" s="77">
        <v>60.366911302138156</v>
      </c>
      <c r="AD12" s="77">
        <v>129.54754130667547</v>
      </c>
      <c r="AE12" s="77">
        <v>135.92684888715877</v>
      </c>
    </row>
    <row r="13" spans="1:31" x14ac:dyDescent="0.25">
      <c r="A13" s="48" t="s">
        <v>42</v>
      </c>
      <c r="B13" s="49">
        <f t="shared" ref="B13:X13" si="15">+B12/B9</f>
        <v>0</v>
      </c>
      <c r="C13" s="49">
        <f t="shared" si="15"/>
        <v>-6.7382304396129667E-4</v>
      </c>
      <c r="D13" s="49">
        <f t="shared" si="15"/>
        <v>-0.43786063318971347</v>
      </c>
      <c r="E13" s="49">
        <f t="shared" si="15"/>
        <v>-0.36123518555759432</v>
      </c>
      <c r="F13" s="49">
        <f t="shared" si="15"/>
        <v>-12.968353646617125</v>
      </c>
      <c r="G13" s="49">
        <f t="shared" si="15"/>
        <v>12.885646212277683</v>
      </c>
      <c r="H13" s="49">
        <f t="shared" si="15"/>
        <v>13.806771030281443</v>
      </c>
      <c r="I13" s="49">
        <f t="shared" si="15"/>
        <v>128.71491443758205</v>
      </c>
      <c r="J13" s="49">
        <f t="shared" si="15"/>
        <v>364.02074045468584</v>
      </c>
      <c r="K13" s="49">
        <f t="shared" si="15"/>
        <v>142.02956239349226</v>
      </c>
      <c r="L13" s="49">
        <f t="shared" si="15"/>
        <v>132.08997091164383</v>
      </c>
      <c r="M13" s="49">
        <f t="shared" si="15"/>
        <v>120.86117400087916</v>
      </c>
      <c r="N13" s="49">
        <f t="shared" si="15"/>
        <v>134.18618819901954</v>
      </c>
      <c r="O13" s="49">
        <f t="shared" si="15"/>
        <v>137.17959050100808</v>
      </c>
      <c r="P13" s="49">
        <f t="shared" si="15"/>
        <v>143.10187440225801</v>
      </c>
      <c r="Q13" s="49">
        <f t="shared" si="15"/>
        <v>132.06665695630755</v>
      </c>
      <c r="R13" s="49">
        <f t="shared" si="15"/>
        <v>139.49374771868443</v>
      </c>
      <c r="S13" s="49">
        <f t="shared" si="15"/>
        <v>150.20876030334026</v>
      </c>
      <c r="T13" s="49">
        <f t="shared" si="15"/>
        <v>409.95100187906223</v>
      </c>
      <c r="U13" s="49">
        <f t="shared" si="15"/>
        <v>214.66036414367008</v>
      </c>
      <c r="V13" s="49">
        <f t="shared" si="15"/>
        <v>156.19866979627659</v>
      </c>
      <c r="W13" s="49">
        <f t="shared" si="15"/>
        <v>153.44086696607627</v>
      </c>
      <c r="X13" s="49">
        <f t="shared" si="15"/>
        <v>162.15816772974838</v>
      </c>
      <c r="Y13" s="49">
        <f t="shared" ref="Y13:AD13" si="16">+Y12/Y9</f>
        <v>180.28254837051267</v>
      </c>
      <c r="Z13" s="49">
        <f t="shared" si="16"/>
        <v>193.6472394332917</v>
      </c>
      <c r="AA13" s="49">
        <f t="shared" si="16"/>
        <v>176.01341124612259</v>
      </c>
      <c r="AB13" s="49">
        <f t="shared" si="16"/>
        <v>167.36808282176679</v>
      </c>
      <c r="AC13" s="49">
        <f t="shared" si="16"/>
        <v>165.3460248272182</v>
      </c>
      <c r="AD13" s="49">
        <f t="shared" si="16"/>
        <v>368.35426899009468</v>
      </c>
      <c r="AE13" s="49">
        <f t="shared" ref="AE13" si="17">+AE12/AE9</f>
        <v>401.17987162046359</v>
      </c>
    </row>
    <row r="14" spans="1:31" x14ac:dyDescent="0.25">
      <c r="A14" s="50" t="s">
        <v>40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f>+'FCAS benefits'!K10</f>
        <v>15.788363499540408</v>
      </c>
      <c r="J14" s="51">
        <f>+'FCAS benefits'!L10</f>
        <v>15.876122651112929</v>
      </c>
      <c r="K14" s="51">
        <f>+'FCAS benefits'!M10</f>
        <v>15.961779131322926</v>
      </c>
      <c r="L14" s="51">
        <f>+'FCAS benefits'!N10</f>
        <v>16.048292176335021</v>
      </c>
      <c r="M14" s="51">
        <f>+'FCAS benefits'!O10</f>
        <v>16.135670351797238</v>
      </c>
      <c r="N14" s="51">
        <f>+'FCAS benefits'!P10</f>
        <v>16.223922309014075</v>
      </c>
      <c r="O14" s="51">
        <f>+'FCAS benefits'!Q10</f>
        <v>16.313056785803084</v>
      </c>
      <c r="P14" s="51">
        <f>+'FCAS benefits'!R10</f>
        <v>16.40308260735998</v>
      </c>
      <c r="Q14" s="51">
        <f>+'FCAS benefits'!S10</f>
        <v>16.49400868713245</v>
      </c>
      <c r="R14" s="51">
        <f>+'FCAS benefits'!T10</f>
        <v>16.585844027702642</v>
      </c>
      <c r="S14" s="51">
        <f>+'FCAS benefits'!U10</f>
        <v>16.678597721678535</v>
      </c>
      <c r="T14" s="51">
        <f>+'FCAS benefits'!V10</f>
        <v>16.772278952594188</v>
      </c>
      <c r="U14" s="51">
        <f>+'FCAS benefits'!W10</f>
        <v>16.866896995818998</v>
      </c>
      <c r="V14" s="51">
        <f>+'FCAS benefits'!X10</f>
        <v>16.962461219476054</v>
      </c>
      <c r="W14" s="51">
        <f>+'FCAS benefits'!Y10</f>
        <v>17.058981085369684</v>
      </c>
      <c r="X14" s="51">
        <f>+'FCAS benefits'!Z10</f>
        <v>17.156466149922252</v>
      </c>
      <c r="Y14" s="51">
        <f>+'FCAS benefits'!AA10</f>
        <v>17.25492606512034</v>
      </c>
      <c r="Z14" s="51">
        <f>+'FCAS benefits'!AB10</f>
        <v>17.354370579470412</v>
      </c>
      <c r="AA14" s="51">
        <f>+'FCAS benefits'!AC10</f>
        <v>17.454809538963978</v>
      </c>
      <c r="AB14" s="51">
        <f>+'FCAS benefits'!AD10</f>
        <v>17.556252888052487</v>
      </c>
      <c r="AC14" s="51">
        <f>+'FCAS benefits'!AE10</f>
        <v>17.658710670631876</v>
      </c>
      <c r="AD14" s="51">
        <f>+'FCAS benefits'!AF10</f>
        <v>17.762193031037071</v>
      </c>
      <c r="AE14" s="51">
        <f>+'FCAS benefits'!AG10</f>
        <v>17.866710215046304</v>
      </c>
    </row>
    <row r="15" spans="1:31" x14ac:dyDescent="0.25">
      <c r="A15" s="46" t="s">
        <v>41</v>
      </c>
      <c r="B15" s="47">
        <f>+B14+B13</f>
        <v>0</v>
      </c>
      <c r="C15" s="47">
        <f t="shared" ref="C15:X15" si="18">+C14+C13</f>
        <v>-6.7382304396129667E-4</v>
      </c>
      <c r="D15" s="47">
        <f t="shared" si="18"/>
        <v>-0.43786063318971347</v>
      </c>
      <c r="E15" s="47">
        <f t="shared" si="18"/>
        <v>-0.36123518555759432</v>
      </c>
      <c r="F15" s="47">
        <f t="shared" si="18"/>
        <v>-12.968353646617125</v>
      </c>
      <c r="G15" s="47">
        <f t="shared" si="18"/>
        <v>12.885646212277683</v>
      </c>
      <c r="H15" s="47">
        <f t="shared" si="18"/>
        <v>13.806771030281443</v>
      </c>
      <c r="I15" s="47">
        <f t="shared" si="18"/>
        <v>144.50327793712245</v>
      </c>
      <c r="J15" s="47">
        <f t="shared" si="18"/>
        <v>379.89686310579879</v>
      </c>
      <c r="K15" s="47">
        <f t="shared" si="18"/>
        <v>157.99134152481517</v>
      </c>
      <c r="L15" s="47">
        <f t="shared" si="18"/>
        <v>148.13826308797886</v>
      </c>
      <c r="M15" s="47">
        <f t="shared" si="18"/>
        <v>136.99684435267639</v>
      </c>
      <c r="N15" s="47">
        <f t="shared" si="18"/>
        <v>150.41011050803363</v>
      </c>
      <c r="O15" s="47">
        <f t="shared" si="18"/>
        <v>153.49264728681118</v>
      </c>
      <c r="P15" s="47">
        <f t="shared" si="18"/>
        <v>159.50495700961798</v>
      </c>
      <c r="Q15" s="47">
        <f t="shared" si="18"/>
        <v>148.56066564344002</v>
      </c>
      <c r="R15" s="47">
        <f t="shared" si="18"/>
        <v>156.07959174638708</v>
      </c>
      <c r="S15" s="47">
        <f t="shared" si="18"/>
        <v>166.88735802501878</v>
      </c>
      <c r="T15" s="47">
        <f t="shared" si="18"/>
        <v>426.72328083165644</v>
      </c>
      <c r="U15" s="47">
        <f t="shared" si="18"/>
        <v>231.52726113948907</v>
      </c>
      <c r="V15" s="47">
        <f t="shared" si="18"/>
        <v>173.16113101575263</v>
      </c>
      <c r="W15" s="47">
        <f t="shared" si="18"/>
        <v>170.49984805144595</v>
      </c>
      <c r="X15" s="47">
        <f t="shared" si="18"/>
        <v>179.31463387967062</v>
      </c>
      <c r="Y15" s="47">
        <f t="shared" ref="Y15:AD15" si="19">+Y14+Y13</f>
        <v>197.53747443563302</v>
      </c>
      <c r="Z15" s="47">
        <f t="shared" si="19"/>
        <v>211.00161001276211</v>
      </c>
      <c r="AA15" s="47">
        <f t="shared" si="19"/>
        <v>193.46822078508657</v>
      </c>
      <c r="AB15" s="47">
        <f t="shared" si="19"/>
        <v>184.92433570981927</v>
      </c>
      <c r="AC15" s="47">
        <f t="shared" si="19"/>
        <v>183.00473549785008</v>
      </c>
      <c r="AD15" s="47">
        <f t="shared" si="19"/>
        <v>386.11646202113172</v>
      </c>
      <c r="AE15" s="47">
        <f t="shared" ref="AE15" si="20">+AE14+AE13</f>
        <v>419.04658183550987</v>
      </c>
    </row>
    <row r="16" spans="1:31" x14ac:dyDescent="0.25">
      <c r="A16" s="53" t="s">
        <v>67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181">
        <f>+'Project costs'!E10</f>
        <v>120.22848946317788</v>
      </c>
      <c r="J16" s="54">
        <f>+'Project costs'!E10</f>
        <v>120.22848946317788</v>
      </c>
      <c r="K16" s="54">
        <f>+J16</f>
        <v>120.22848946317788</v>
      </c>
      <c r="L16" s="54">
        <f>+K16</f>
        <v>120.22848946317788</v>
      </c>
      <c r="M16" s="54">
        <f>+L16</f>
        <v>120.22848946317788</v>
      </c>
      <c r="N16" s="54">
        <f>+M16</f>
        <v>120.22848946317788</v>
      </c>
      <c r="O16" s="54">
        <f t="shared" ref="O16:X16" si="21">+N16</f>
        <v>120.22848946317788</v>
      </c>
      <c r="P16" s="54">
        <f t="shared" si="21"/>
        <v>120.22848946317788</v>
      </c>
      <c r="Q16" s="54">
        <f t="shared" si="21"/>
        <v>120.22848946317788</v>
      </c>
      <c r="R16" s="54">
        <f t="shared" si="21"/>
        <v>120.22848946317788</v>
      </c>
      <c r="S16" s="54">
        <f t="shared" si="21"/>
        <v>120.22848946317788</v>
      </c>
      <c r="T16" s="54">
        <f t="shared" si="21"/>
        <v>120.22848946317788</v>
      </c>
      <c r="U16" s="54">
        <f t="shared" si="21"/>
        <v>120.22848946317788</v>
      </c>
      <c r="V16" s="54">
        <f t="shared" si="21"/>
        <v>120.22848946317788</v>
      </c>
      <c r="W16" s="54">
        <f t="shared" si="21"/>
        <v>120.22848946317788</v>
      </c>
      <c r="X16" s="54">
        <f t="shared" si="21"/>
        <v>120.22848946317788</v>
      </c>
      <c r="Y16" s="54">
        <f t="shared" ref="Y16" si="22">+X16</f>
        <v>120.22848946317788</v>
      </c>
      <c r="Z16" s="54">
        <f t="shared" ref="Z16" si="23">+Y16</f>
        <v>120.22848946317788</v>
      </c>
      <c r="AA16" s="54">
        <f t="shared" ref="AA16" si="24">+Z16</f>
        <v>120.22848946317788</v>
      </c>
      <c r="AB16" s="54">
        <f t="shared" ref="AB16" si="25">+AA16</f>
        <v>120.22848946317788</v>
      </c>
      <c r="AC16" s="54">
        <f t="shared" ref="AC16" si="26">+AB16</f>
        <v>120.22848946317788</v>
      </c>
      <c r="AD16" s="54">
        <f t="shared" ref="AD16:AE16" si="27">+AC16</f>
        <v>120.22848946317788</v>
      </c>
      <c r="AE16" s="54">
        <f t="shared" si="27"/>
        <v>120.22848946317788</v>
      </c>
    </row>
    <row r="17" spans="1:31" x14ac:dyDescent="0.25">
      <c r="A17" s="79" t="s">
        <v>68</v>
      </c>
      <c r="B17" s="156">
        <f>XNPV(SlowWACC,B15:AE15,$B$10:$AE$10)</f>
        <v>2484.6573915465624</v>
      </c>
      <c r="C17" s="134"/>
      <c r="D17" s="135"/>
      <c r="E17" s="136"/>
      <c r="F17" s="137"/>
      <c r="G17" s="9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</row>
    <row r="18" spans="1:31" x14ac:dyDescent="0.25">
      <c r="A18" s="79" t="s">
        <v>69</v>
      </c>
      <c r="B18" s="156">
        <f>+XNPV(SlowWACC,B16:AE16,$B$10:$AE$10)</f>
        <v>1456.2203897118102</v>
      </c>
      <c r="C18" s="134"/>
      <c r="D18" s="135"/>
      <c r="E18" s="136"/>
      <c r="F18" s="137"/>
      <c r="G18" s="97"/>
      <c r="H18" s="95"/>
      <c r="I18" s="95"/>
      <c r="J18" s="96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</row>
    <row r="19" spans="1:31" ht="15.75" thickBot="1" x14ac:dyDescent="0.3">
      <c r="A19" s="78" t="s">
        <v>119</v>
      </c>
      <c r="B19" s="157">
        <f>+B17-B18</f>
        <v>1028.4370018347522</v>
      </c>
      <c r="C19" s="134"/>
      <c r="D19" s="135"/>
      <c r="E19" s="136"/>
      <c r="F19" s="137"/>
      <c r="G19" s="97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</row>
    <row r="20" spans="1:31" ht="16.5" thickTop="1" thickBot="1" x14ac:dyDescent="0.3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</row>
    <row r="21" spans="1:31" ht="15.75" thickTop="1" x14ac:dyDescent="0.25">
      <c r="A21" s="71" t="str">
        <f>+A2</f>
        <v xml:space="preserve">Option 1:  600 MW in 2027 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</row>
    <row r="22" spans="1:31" x14ac:dyDescent="0.25">
      <c r="A22" s="73" t="s">
        <v>72</v>
      </c>
      <c r="B22" s="74" t="str">
        <f>+Overview!D7</f>
        <v>Central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</row>
    <row r="23" spans="1:31" x14ac:dyDescent="0.25">
      <c r="A23" s="2" t="s">
        <v>34</v>
      </c>
      <c r="B23" s="1">
        <v>0</v>
      </c>
      <c r="C23" s="1">
        <f>+B23+1</f>
        <v>1</v>
      </c>
      <c r="D23" s="1">
        <f t="shared" ref="D23:X23" si="28">+C23+1</f>
        <v>2</v>
      </c>
      <c r="E23" s="1">
        <f t="shared" si="28"/>
        <v>3</v>
      </c>
      <c r="F23" s="1">
        <f t="shared" si="28"/>
        <v>4</v>
      </c>
      <c r="G23" s="1">
        <f t="shared" si="28"/>
        <v>5</v>
      </c>
      <c r="H23" s="8">
        <f t="shared" si="28"/>
        <v>6</v>
      </c>
      <c r="I23" s="1">
        <f t="shared" si="28"/>
        <v>7</v>
      </c>
      <c r="J23" s="1">
        <f t="shared" si="28"/>
        <v>8</v>
      </c>
      <c r="K23" s="1">
        <f t="shared" si="28"/>
        <v>9</v>
      </c>
      <c r="L23" s="1">
        <f t="shared" si="28"/>
        <v>10</v>
      </c>
      <c r="M23" s="1">
        <f t="shared" si="28"/>
        <v>11</v>
      </c>
      <c r="N23" s="1">
        <f t="shared" si="28"/>
        <v>12</v>
      </c>
      <c r="O23" s="1">
        <f t="shared" si="28"/>
        <v>13</v>
      </c>
      <c r="P23" s="1">
        <f t="shared" si="28"/>
        <v>14</v>
      </c>
      <c r="Q23" s="1">
        <f t="shared" si="28"/>
        <v>15</v>
      </c>
      <c r="R23" s="1">
        <f t="shared" si="28"/>
        <v>16</v>
      </c>
      <c r="S23" s="1">
        <f t="shared" si="28"/>
        <v>17</v>
      </c>
      <c r="T23" s="1">
        <f t="shared" si="28"/>
        <v>18</v>
      </c>
      <c r="U23" s="1">
        <f t="shared" si="28"/>
        <v>19</v>
      </c>
      <c r="V23" s="1">
        <f t="shared" si="28"/>
        <v>20</v>
      </c>
      <c r="W23" s="1">
        <f t="shared" si="28"/>
        <v>21</v>
      </c>
      <c r="X23" s="1">
        <f t="shared" si="28"/>
        <v>22</v>
      </c>
      <c r="Y23" s="1">
        <f t="shared" ref="Y23" si="29">+X23+1</f>
        <v>23</v>
      </c>
      <c r="Z23" s="1">
        <f t="shared" ref="Z23" si="30">+Y23+1</f>
        <v>24</v>
      </c>
      <c r="AA23" s="1">
        <f t="shared" ref="AA23" si="31">+Z23+1</f>
        <v>25</v>
      </c>
      <c r="AB23" s="1">
        <f t="shared" ref="AB23" si="32">+AA23+1</f>
        <v>26</v>
      </c>
      <c r="AC23" s="1">
        <f t="shared" ref="AC23" si="33">+AB23+1</f>
        <v>27</v>
      </c>
      <c r="AD23" s="1">
        <f t="shared" ref="AD23:AE23" si="34">+AC23+1</f>
        <v>28</v>
      </c>
      <c r="AE23" s="1">
        <f t="shared" si="34"/>
        <v>29</v>
      </c>
    </row>
    <row r="24" spans="1:31" x14ac:dyDescent="0.25">
      <c r="A24" t="s">
        <v>35</v>
      </c>
      <c r="B24" s="4">
        <v>1</v>
      </c>
      <c r="C24" s="4">
        <f t="shared" ref="C24:AE24" si="35">1/((1+NotSlowWACC)^((C25-$B$10)/365))</f>
        <v>0.95419847328244267</v>
      </c>
      <c r="D24" s="4">
        <f t="shared" si="35"/>
        <v>0.91049472641454443</v>
      </c>
      <c r="E24" s="4">
        <f t="shared" si="35"/>
        <v>0.86879267787647374</v>
      </c>
      <c r="F24" s="4">
        <f t="shared" si="35"/>
        <v>0.82889417004246191</v>
      </c>
      <c r="G24" s="4">
        <f t="shared" si="35"/>
        <v>0.79092955156723455</v>
      </c>
      <c r="H24" s="4">
        <f t="shared" si="35"/>
        <v>0.75470377057942228</v>
      </c>
      <c r="I24" s="4">
        <f t="shared" si="35"/>
        <v>0.7201371856673876</v>
      </c>
      <c r="J24" s="4">
        <f t="shared" si="35"/>
        <v>0.68706554513038165</v>
      </c>
      <c r="K24" s="4">
        <f t="shared" si="35"/>
        <v>0.65559689420837941</v>
      </c>
      <c r="L24" s="4">
        <f t="shared" si="35"/>
        <v>0.62556955554234672</v>
      </c>
      <c r="M24" s="4">
        <f t="shared" si="35"/>
        <v>0.5969175148304835</v>
      </c>
      <c r="N24" s="4">
        <f t="shared" si="35"/>
        <v>0.56950462479561925</v>
      </c>
      <c r="O24" s="4">
        <f t="shared" si="35"/>
        <v>0.54342044350727026</v>
      </c>
      <c r="P24" s="4">
        <f t="shared" si="35"/>
        <v>0.51853095754510525</v>
      </c>
      <c r="Q24" s="4">
        <f t="shared" si="35"/>
        <v>0.49478144803922253</v>
      </c>
      <c r="R24" s="4">
        <f t="shared" si="35"/>
        <v>0.47205906330530845</v>
      </c>
      <c r="S24" s="4">
        <f t="shared" si="35"/>
        <v>0.45043803750506534</v>
      </c>
      <c r="T24" s="4">
        <f t="shared" si="35"/>
        <v>0.429807287695673</v>
      </c>
      <c r="U24" s="4">
        <f t="shared" si="35"/>
        <v>0.41012145772487879</v>
      </c>
      <c r="V24" s="4">
        <f t="shared" si="35"/>
        <v>0.39128700548947559</v>
      </c>
      <c r="W24" s="4">
        <f t="shared" si="35"/>
        <v>0.37336546325331643</v>
      </c>
      <c r="X24" s="4">
        <f t="shared" si="35"/>
        <v>0.35626475501270649</v>
      </c>
      <c r="Y24" s="4">
        <f t="shared" si="35"/>
        <v>0.33994728531746798</v>
      </c>
      <c r="Z24" s="4">
        <f t="shared" si="35"/>
        <v>0.32433551766359908</v>
      </c>
      <c r="AA24" s="4">
        <f t="shared" si="35"/>
        <v>0.30948045578587696</v>
      </c>
      <c r="AB24" s="4">
        <f t="shared" si="35"/>
        <v>0.29530577842163835</v>
      </c>
      <c r="AC24" s="4">
        <f t="shared" si="35"/>
        <v>0.28178032292141064</v>
      </c>
      <c r="AD24" s="4">
        <f t="shared" si="35"/>
        <v>0.26883981972906118</v>
      </c>
      <c r="AE24" s="4">
        <f t="shared" si="35"/>
        <v>0.25652654554299731</v>
      </c>
    </row>
    <row r="25" spans="1:31" x14ac:dyDescent="0.25">
      <c r="A25" s="5" t="s">
        <v>70</v>
      </c>
      <c r="B25" s="6">
        <f t="shared" ref="B25:AE25" si="36">+B10</f>
        <v>44013</v>
      </c>
      <c r="C25" s="6">
        <f t="shared" si="36"/>
        <v>44378</v>
      </c>
      <c r="D25" s="6">
        <f t="shared" si="36"/>
        <v>44743</v>
      </c>
      <c r="E25" s="6">
        <f t="shared" si="36"/>
        <v>45108</v>
      </c>
      <c r="F25" s="6">
        <f t="shared" si="36"/>
        <v>45474</v>
      </c>
      <c r="G25" s="6">
        <f t="shared" si="36"/>
        <v>45839</v>
      </c>
      <c r="H25" s="6">
        <f t="shared" si="36"/>
        <v>46204</v>
      </c>
      <c r="I25" s="6">
        <f t="shared" si="36"/>
        <v>46569</v>
      </c>
      <c r="J25" s="6">
        <f t="shared" si="36"/>
        <v>46935</v>
      </c>
      <c r="K25" s="6">
        <f t="shared" si="36"/>
        <v>47300</v>
      </c>
      <c r="L25" s="6">
        <f t="shared" si="36"/>
        <v>47665</v>
      </c>
      <c r="M25" s="6">
        <f t="shared" si="36"/>
        <v>48030</v>
      </c>
      <c r="N25" s="6">
        <f t="shared" si="36"/>
        <v>48396</v>
      </c>
      <c r="O25" s="6">
        <f t="shared" si="36"/>
        <v>48761</v>
      </c>
      <c r="P25" s="6">
        <f t="shared" si="36"/>
        <v>49126</v>
      </c>
      <c r="Q25" s="6">
        <f t="shared" si="36"/>
        <v>49491</v>
      </c>
      <c r="R25" s="6">
        <f t="shared" si="36"/>
        <v>49857</v>
      </c>
      <c r="S25" s="6">
        <f t="shared" si="36"/>
        <v>50222</v>
      </c>
      <c r="T25" s="6">
        <f t="shared" si="36"/>
        <v>50587</v>
      </c>
      <c r="U25" s="6">
        <f t="shared" si="36"/>
        <v>50952</v>
      </c>
      <c r="V25" s="6">
        <f t="shared" si="36"/>
        <v>51318</v>
      </c>
      <c r="W25" s="6">
        <f t="shared" si="36"/>
        <v>51683</v>
      </c>
      <c r="X25" s="6">
        <f t="shared" si="36"/>
        <v>52048</v>
      </c>
      <c r="Y25" s="6">
        <f t="shared" si="36"/>
        <v>52413</v>
      </c>
      <c r="Z25" s="6">
        <f t="shared" si="36"/>
        <v>52779</v>
      </c>
      <c r="AA25" s="6">
        <f t="shared" si="36"/>
        <v>53144</v>
      </c>
      <c r="AB25" s="6">
        <f t="shared" si="36"/>
        <v>53509</v>
      </c>
      <c r="AC25" s="6">
        <f t="shared" si="36"/>
        <v>53874</v>
      </c>
      <c r="AD25" s="6">
        <f t="shared" si="36"/>
        <v>54240</v>
      </c>
      <c r="AE25" s="6">
        <f t="shared" si="36"/>
        <v>54605</v>
      </c>
    </row>
    <row r="26" spans="1:31" x14ac:dyDescent="0.25">
      <c r="A26" s="44" t="s">
        <v>39</v>
      </c>
      <c r="B26" s="45" t="str">
        <f t="shared" ref="B26:AE26" si="37">+B11</f>
        <v>2020-21</v>
      </c>
      <c r="C26" s="45" t="str">
        <f t="shared" si="37"/>
        <v>2021-22</v>
      </c>
      <c r="D26" s="45" t="str">
        <f t="shared" si="37"/>
        <v>2022-23</v>
      </c>
      <c r="E26" s="45" t="str">
        <f t="shared" si="37"/>
        <v>2023-24</v>
      </c>
      <c r="F26" s="45" t="str">
        <f t="shared" si="37"/>
        <v>2024-25</v>
      </c>
      <c r="G26" s="45" t="str">
        <f t="shared" si="37"/>
        <v>2025-26</v>
      </c>
      <c r="H26" s="45" t="str">
        <f t="shared" si="37"/>
        <v>2026-27</v>
      </c>
      <c r="I26" s="45" t="str">
        <f t="shared" si="37"/>
        <v>2027-28</v>
      </c>
      <c r="J26" s="45" t="str">
        <f t="shared" si="37"/>
        <v>2028-29</v>
      </c>
      <c r="K26" s="45" t="str">
        <f t="shared" si="37"/>
        <v>2029-30</v>
      </c>
      <c r="L26" s="45" t="str">
        <f t="shared" si="37"/>
        <v>2030-31</v>
      </c>
      <c r="M26" s="45" t="str">
        <f t="shared" si="37"/>
        <v>2031-32</v>
      </c>
      <c r="N26" s="45" t="str">
        <f t="shared" si="37"/>
        <v>2032-33</v>
      </c>
      <c r="O26" s="45" t="str">
        <f t="shared" si="37"/>
        <v>2033-34</v>
      </c>
      <c r="P26" s="45" t="str">
        <f t="shared" si="37"/>
        <v>2034-35</v>
      </c>
      <c r="Q26" s="45" t="str">
        <f t="shared" si="37"/>
        <v>2035-36</v>
      </c>
      <c r="R26" s="45" t="str">
        <f t="shared" si="37"/>
        <v>2036-37</v>
      </c>
      <c r="S26" s="45" t="str">
        <f t="shared" si="37"/>
        <v>2037-38</v>
      </c>
      <c r="T26" s="45" t="str">
        <f t="shared" si="37"/>
        <v>2038-39</v>
      </c>
      <c r="U26" s="45" t="str">
        <f t="shared" si="37"/>
        <v>2039-40</v>
      </c>
      <c r="V26" s="45" t="str">
        <f t="shared" si="37"/>
        <v>2040-41</v>
      </c>
      <c r="W26" s="45" t="str">
        <f t="shared" si="37"/>
        <v>2041-42</v>
      </c>
      <c r="X26" s="45" t="str">
        <f t="shared" si="37"/>
        <v>2042-43</v>
      </c>
      <c r="Y26" s="45" t="str">
        <f t="shared" si="37"/>
        <v>2043-44</v>
      </c>
      <c r="Z26" s="45" t="str">
        <f t="shared" si="37"/>
        <v>2044-45</v>
      </c>
      <c r="AA26" s="45" t="str">
        <f t="shared" si="37"/>
        <v>2045-46</v>
      </c>
      <c r="AB26" s="45" t="str">
        <f t="shared" si="37"/>
        <v>2046-47</v>
      </c>
      <c r="AC26" s="45" t="str">
        <f t="shared" si="37"/>
        <v>2047-48</v>
      </c>
      <c r="AD26" s="45" t="str">
        <f t="shared" si="37"/>
        <v>2048-49</v>
      </c>
      <c r="AE26" s="45" t="str">
        <f t="shared" si="37"/>
        <v>2049-50</v>
      </c>
    </row>
    <row r="27" spans="1:31" x14ac:dyDescent="0.25">
      <c r="A27" s="52" t="str">
        <f>+A12</f>
        <v>Market benefits (PV at 2020)</v>
      </c>
      <c r="B27" s="77">
        <v>0</v>
      </c>
      <c r="C27" s="77">
        <v>-0.22530449398589572</v>
      </c>
      <c r="D27" s="77">
        <v>-0.95205047450659175</v>
      </c>
      <c r="E27" s="77">
        <v>-1.1268234030072994</v>
      </c>
      <c r="F27" s="77">
        <v>4.2230937932152477</v>
      </c>
      <c r="G27" s="77">
        <v>47.828731239673232</v>
      </c>
      <c r="H27" s="77">
        <v>-19.593132516621953</v>
      </c>
      <c r="I27" s="77">
        <v>28.25492848100345</v>
      </c>
      <c r="J27" s="77">
        <v>53.768923521327153</v>
      </c>
      <c r="K27" s="77">
        <v>46.256518853024332</v>
      </c>
      <c r="L27" s="77">
        <v>42.852919527768663</v>
      </c>
      <c r="M27" s="77">
        <v>46.805419243445719</v>
      </c>
      <c r="N27" s="77">
        <v>93.279943915816844</v>
      </c>
      <c r="O27" s="77">
        <v>87.015093364452525</v>
      </c>
      <c r="P27" s="77">
        <v>97.486623447701689</v>
      </c>
      <c r="Q27" s="77">
        <v>102.97426077591025</v>
      </c>
      <c r="R27" s="77">
        <v>100.68797360343164</v>
      </c>
      <c r="S27" s="77">
        <v>145.75612700530203</v>
      </c>
      <c r="T27" s="77">
        <v>119.93667717573875</v>
      </c>
      <c r="U27" s="77">
        <v>126.05762636692182</v>
      </c>
      <c r="V27" s="77">
        <v>130.18949023719676</v>
      </c>
      <c r="W27" s="77">
        <v>123.5346897973409</v>
      </c>
      <c r="X27" s="77">
        <v>130.01064377250654</v>
      </c>
      <c r="Y27" s="77">
        <v>124.10379659556861</v>
      </c>
      <c r="Z27" s="77">
        <v>112.19871172863581</v>
      </c>
      <c r="AA27" s="77">
        <v>106.00453496350025</v>
      </c>
      <c r="AB27" s="77">
        <v>107.53069931511919</v>
      </c>
      <c r="AC27" s="77">
        <v>104.63758517514133</v>
      </c>
      <c r="AD27" s="77">
        <v>114.18027298061743</v>
      </c>
      <c r="AE27" s="77">
        <v>107.23463024744359</v>
      </c>
    </row>
    <row r="28" spans="1:31" x14ac:dyDescent="0.25">
      <c r="A28" s="48" t="s">
        <v>42</v>
      </c>
      <c r="B28" s="49">
        <f t="shared" ref="B28:X28" si="38">+B27/B24</f>
        <v>0</v>
      </c>
      <c r="C28" s="49">
        <f t="shared" si="38"/>
        <v>-0.23611910969721872</v>
      </c>
      <c r="D28" s="49">
        <f t="shared" si="38"/>
        <v>-1.0456408443524881</v>
      </c>
      <c r="E28" s="49">
        <f t="shared" si="38"/>
        <v>-1.2969991940557226</v>
      </c>
      <c r="F28" s="49">
        <f t="shared" si="38"/>
        <v>5.0948528121496022</v>
      </c>
      <c r="G28" s="49">
        <f t="shared" si="38"/>
        <v>60.471544077345627</v>
      </c>
      <c r="H28" s="49">
        <f t="shared" si="38"/>
        <v>-25.961355011621798</v>
      </c>
      <c r="I28" s="49">
        <f t="shared" si="38"/>
        <v>39.235480465875646</v>
      </c>
      <c r="J28" s="49">
        <f t="shared" si="38"/>
        <v>78.258797726676349</v>
      </c>
      <c r="K28" s="49">
        <f t="shared" si="38"/>
        <v>70.556342261014194</v>
      </c>
      <c r="L28" s="49">
        <f t="shared" si="38"/>
        <v>68.502245910315594</v>
      </c>
      <c r="M28" s="49">
        <f t="shared" si="38"/>
        <v>78.411871122156342</v>
      </c>
      <c r="N28" s="49">
        <f t="shared" si="38"/>
        <v>163.7913721057009</v>
      </c>
      <c r="O28" s="49">
        <f t="shared" si="38"/>
        <v>160.12480649946025</v>
      </c>
      <c r="P28" s="49">
        <f t="shared" si="38"/>
        <v>188.00540648380027</v>
      </c>
      <c r="Q28" s="49">
        <f t="shared" si="38"/>
        <v>208.12069891461903</v>
      </c>
      <c r="R28" s="49">
        <f t="shared" si="38"/>
        <v>213.29528745497424</v>
      </c>
      <c r="S28" s="49">
        <f t="shared" si="38"/>
        <v>323.58751896849509</v>
      </c>
      <c r="T28" s="49">
        <f t="shared" si="38"/>
        <v>279.04756529084369</v>
      </c>
      <c r="U28" s="49">
        <f t="shared" si="38"/>
        <v>307.36657151814984</v>
      </c>
      <c r="V28" s="49">
        <f t="shared" si="38"/>
        <v>332.72122102377983</v>
      </c>
      <c r="W28" s="49">
        <f t="shared" si="38"/>
        <v>330.86801527094269</v>
      </c>
      <c r="X28" s="49">
        <f t="shared" si="38"/>
        <v>364.92704356306479</v>
      </c>
      <c r="Y28" s="49">
        <f t="shared" ref="Y28:AD28" si="39">+Y27/Y24</f>
        <v>365.06776772660879</v>
      </c>
      <c r="Z28" s="49">
        <f t="shared" si="39"/>
        <v>345.93408867729482</v>
      </c>
      <c r="AA28" s="49">
        <f t="shared" si="39"/>
        <v>342.52416584536297</v>
      </c>
      <c r="AB28" s="49">
        <f t="shared" si="39"/>
        <v>364.13340737811973</v>
      </c>
      <c r="AC28" s="49">
        <f t="shared" si="39"/>
        <v>371.34454276399225</v>
      </c>
      <c r="AD28" s="49">
        <f t="shared" si="39"/>
        <v>424.71488448284623</v>
      </c>
      <c r="AE28" s="49">
        <f t="shared" ref="AE28" si="40">+AE27/AE24</f>
        <v>418.0254718686399</v>
      </c>
    </row>
    <row r="29" spans="1:31" x14ac:dyDescent="0.25">
      <c r="A29" s="50" t="s">
        <v>40</v>
      </c>
      <c r="B29" s="51">
        <f t="shared" ref="B29:H29" si="41">+B14</f>
        <v>0</v>
      </c>
      <c r="C29" s="51">
        <f t="shared" si="41"/>
        <v>0</v>
      </c>
      <c r="D29" s="51">
        <f t="shared" si="41"/>
        <v>0</v>
      </c>
      <c r="E29" s="51">
        <f t="shared" si="41"/>
        <v>0</v>
      </c>
      <c r="F29" s="51">
        <f t="shared" si="41"/>
        <v>0</v>
      </c>
      <c r="G29" s="51">
        <f t="shared" si="41"/>
        <v>0</v>
      </c>
      <c r="H29" s="51">
        <f t="shared" si="41"/>
        <v>0</v>
      </c>
      <c r="I29" s="51">
        <f>+I14</f>
        <v>15.788363499540408</v>
      </c>
      <c r="J29" s="51">
        <f t="shared" ref="J29:AE29" si="42">+J14</f>
        <v>15.876122651112929</v>
      </c>
      <c r="K29" s="51">
        <f t="shared" si="42"/>
        <v>15.961779131322926</v>
      </c>
      <c r="L29" s="51">
        <f t="shared" si="42"/>
        <v>16.048292176335021</v>
      </c>
      <c r="M29" s="51">
        <f t="shared" si="42"/>
        <v>16.135670351797238</v>
      </c>
      <c r="N29" s="51">
        <f t="shared" si="42"/>
        <v>16.223922309014075</v>
      </c>
      <c r="O29" s="51">
        <f t="shared" si="42"/>
        <v>16.313056785803084</v>
      </c>
      <c r="P29" s="51">
        <f t="shared" si="42"/>
        <v>16.40308260735998</v>
      </c>
      <c r="Q29" s="51">
        <f t="shared" si="42"/>
        <v>16.49400868713245</v>
      </c>
      <c r="R29" s="51">
        <f t="shared" si="42"/>
        <v>16.585844027702642</v>
      </c>
      <c r="S29" s="51">
        <f t="shared" si="42"/>
        <v>16.678597721678535</v>
      </c>
      <c r="T29" s="51">
        <f t="shared" si="42"/>
        <v>16.772278952594188</v>
      </c>
      <c r="U29" s="51">
        <f t="shared" si="42"/>
        <v>16.866896995818998</v>
      </c>
      <c r="V29" s="51">
        <f t="shared" si="42"/>
        <v>16.962461219476054</v>
      </c>
      <c r="W29" s="51">
        <f t="shared" si="42"/>
        <v>17.058981085369684</v>
      </c>
      <c r="X29" s="51">
        <f t="shared" si="42"/>
        <v>17.156466149922252</v>
      </c>
      <c r="Y29" s="51">
        <f t="shared" si="42"/>
        <v>17.25492606512034</v>
      </c>
      <c r="Z29" s="51">
        <f t="shared" si="42"/>
        <v>17.354370579470412</v>
      </c>
      <c r="AA29" s="51">
        <f t="shared" si="42"/>
        <v>17.454809538963978</v>
      </c>
      <c r="AB29" s="51">
        <f t="shared" si="42"/>
        <v>17.556252888052487</v>
      </c>
      <c r="AC29" s="51">
        <f t="shared" si="42"/>
        <v>17.658710670631876</v>
      </c>
      <c r="AD29" s="51">
        <f t="shared" si="42"/>
        <v>17.762193031037071</v>
      </c>
      <c r="AE29" s="51">
        <f t="shared" si="42"/>
        <v>17.866710215046304</v>
      </c>
    </row>
    <row r="30" spans="1:31" x14ac:dyDescent="0.25">
      <c r="A30" s="46" t="s">
        <v>41</v>
      </c>
      <c r="B30" s="47">
        <f>+B29+B28</f>
        <v>0</v>
      </c>
      <c r="C30" s="47">
        <f t="shared" ref="C30:X30" si="43">+C29+C28</f>
        <v>-0.23611910969721872</v>
      </c>
      <c r="D30" s="47">
        <f t="shared" si="43"/>
        <v>-1.0456408443524881</v>
      </c>
      <c r="E30" s="47">
        <f t="shared" si="43"/>
        <v>-1.2969991940557226</v>
      </c>
      <c r="F30" s="47">
        <f t="shared" si="43"/>
        <v>5.0948528121496022</v>
      </c>
      <c r="G30" s="47">
        <f t="shared" si="43"/>
        <v>60.471544077345627</v>
      </c>
      <c r="H30" s="47">
        <f t="shared" si="43"/>
        <v>-25.961355011621798</v>
      </c>
      <c r="I30" s="47">
        <f t="shared" si="43"/>
        <v>55.023843965416056</v>
      </c>
      <c r="J30" s="47">
        <f t="shared" si="43"/>
        <v>94.134920377789285</v>
      </c>
      <c r="K30" s="47">
        <f t="shared" si="43"/>
        <v>86.518121392337122</v>
      </c>
      <c r="L30" s="47">
        <f t="shared" si="43"/>
        <v>84.550538086650619</v>
      </c>
      <c r="M30" s="47">
        <f t="shared" si="43"/>
        <v>94.547541473953572</v>
      </c>
      <c r="N30" s="47">
        <f t="shared" si="43"/>
        <v>180.01529441471499</v>
      </c>
      <c r="O30" s="47">
        <f t="shared" si="43"/>
        <v>176.43786328526335</v>
      </c>
      <c r="P30" s="47">
        <f t="shared" si="43"/>
        <v>204.40848909116025</v>
      </c>
      <c r="Q30" s="47">
        <f t="shared" si="43"/>
        <v>224.61470760175149</v>
      </c>
      <c r="R30" s="47">
        <f t="shared" si="43"/>
        <v>229.88113148267689</v>
      </c>
      <c r="S30" s="47">
        <f t="shared" si="43"/>
        <v>340.26611669017365</v>
      </c>
      <c r="T30" s="47">
        <f t="shared" si="43"/>
        <v>295.8198442434379</v>
      </c>
      <c r="U30" s="47">
        <f t="shared" si="43"/>
        <v>324.23346851396883</v>
      </c>
      <c r="V30" s="47">
        <f t="shared" si="43"/>
        <v>349.68368224325587</v>
      </c>
      <c r="W30" s="47">
        <f t="shared" si="43"/>
        <v>347.92699635631237</v>
      </c>
      <c r="X30" s="47">
        <f t="shared" si="43"/>
        <v>382.08350971298705</v>
      </c>
      <c r="Y30" s="47">
        <f t="shared" ref="Y30:AD30" si="44">+Y29+Y28</f>
        <v>382.32269379172914</v>
      </c>
      <c r="Z30" s="47">
        <f t="shared" si="44"/>
        <v>363.28845925676524</v>
      </c>
      <c r="AA30" s="47">
        <f t="shared" si="44"/>
        <v>359.97897538432693</v>
      </c>
      <c r="AB30" s="47">
        <f t="shared" si="44"/>
        <v>381.68966026617221</v>
      </c>
      <c r="AC30" s="47">
        <f t="shared" si="44"/>
        <v>389.00325343462413</v>
      </c>
      <c r="AD30" s="47">
        <f t="shared" si="44"/>
        <v>442.47707751388327</v>
      </c>
      <c r="AE30" s="47">
        <f t="shared" ref="AE30" si="45">+AE29+AE28</f>
        <v>435.89218208368618</v>
      </c>
    </row>
    <row r="31" spans="1:31" x14ac:dyDescent="0.25">
      <c r="A31" s="53" t="s">
        <v>67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f>+'Project costs'!C10</f>
        <v>134.68414727817313</v>
      </c>
      <c r="J31" s="181">
        <f>+I31</f>
        <v>134.68414727817313</v>
      </c>
      <c r="K31" s="54">
        <f>+J31</f>
        <v>134.68414727817313</v>
      </c>
      <c r="L31" s="54">
        <f>+K31</f>
        <v>134.68414727817313</v>
      </c>
      <c r="M31" s="54">
        <f>+L31</f>
        <v>134.68414727817313</v>
      </c>
      <c r="N31" s="54">
        <f>+M31</f>
        <v>134.68414727817313</v>
      </c>
      <c r="O31" s="54">
        <f t="shared" ref="O31:X31" si="46">+N31</f>
        <v>134.68414727817313</v>
      </c>
      <c r="P31" s="54">
        <f t="shared" si="46"/>
        <v>134.68414727817313</v>
      </c>
      <c r="Q31" s="54">
        <f t="shared" si="46"/>
        <v>134.68414727817313</v>
      </c>
      <c r="R31" s="54">
        <f t="shared" si="46"/>
        <v>134.68414727817313</v>
      </c>
      <c r="S31" s="54">
        <f t="shared" si="46"/>
        <v>134.68414727817313</v>
      </c>
      <c r="T31" s="54">
        <f t="shared" si="46"/>
        <v>134.68414727817313</v>
      </c>
      <c r="U31" s="54">
        <f t="shared" si="46"/>
        <v>134.68414727817313</v>
      </c>
      <c r="V31" s="54">
        <f t="shared" si="46"/>
        <v>134.68414727817313</v>
      </c>
      <c r="W31" s="54">
        <f t="shared" si="46"/>
        <v>134.68414727817313</v>
      </c>
      <c r="X31" s="54">
        <f t="shared" si="46"/>
        <v>134.68414727817313</v>
      </c>
      <c r="Y31" s="54">
        <f t="shared" ref="Y31" si="47">+X31</f>
        <v>134.68414727817313</v>
      </c>
      <c r="Z31" s="54">
        <f t="shared" ref="Z31" si="48">+Y31</f>
        <v>134.68414727817313</v>
      </c>
      <c r="AA31" s="54">
        <f t="shared" ref="AA31" si="49">+Z31</f>
        <v>134.68414727817313</v>
      </c>
      <c r="AB31" s="54">
        <f t="shared" ref="AB31" si="50">+AA31</f>
        <v>134.68414727817313</v>
      </c>
      <c r="AC31" s="54">
        <f t="shared" ref="AC31" si="51">+AB31</f>
        <v>134.68414727817313</v>
      </c>
      <c r="AD31" s="54">
        <f t="shared" ref="AD31:AE31" si="52">+AC31</f>
        <v>134.68414727817313</v>
      </c>
      <c r="AE31" s="54">
        <f t="shared" si="52"/>
        <v>134.68414727817313</v>
      </c>
    </row>
    <row r="32" spans="1:31" x14ac:dyDescent="0.25">
      <c r="A32" t="s">
        <v>68</v>
      </c>
      <c r="B32" s="43">
        <f>XNPV(NotSlowWACC,B30:AE30,$B$10:$AE$10)</f>
        <v>2453.0989947775256</v>
      </c>
      <c r="C32" s="134"/>
      <c r="D32" s="135"/>
      <c r="E32" s="136"/>
      <c r="F32" s="137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</row>
    <row r="33" spans="1:31" x14ac:dyDescent="0.25">
      <c r="A33" t="s">
        <v>69</v>
      </c>
      <c r="B33" s="43">
        <f>+XNPV(NotSlowWACC,B31:AE31,$B$10:$AE$10)</f>
        <v>1396.8204654430087</v>
      </c>
      <c r="C33" s="134"/>
      <c r="D33" s="135"/>
      <c r="E33" s="136"/>
      <c r="F33" s="137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</row>
    <row r="34" spans="1:31" ht="15.75" thickBot="1" x14ac:dyDescent="0.3">
      <c r="A34" s="1" t="s">
        <v>119</v>
      </c>
      <c r="B34" s="68">
        <f>+B32-B33</f>
        <v>1056.2785293345169</v>
      </c>
      <c r="C34" s="134"/>
      <c r="D34" s="135"/>
      <c r="E34" s="136"/>
      <c r="F34" s="137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</row>
    <row r="35" spans="1:31" ht="16.5" thickTop="1" thickBot="1" x14ac:dyDescent="0.3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</row>
    <row r="36" spans="1:31" ht="15.75" thickTop="1" x14ac:dyDescent="0.25">
      <c r="A36" s="71" t="str">
        <f>+A2</f>
        <v xml:space="preserve">Option 1:  600 MW in 2027 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</row>
    <row r="37" spans="1:31" x14ac:dyDescent="0.25">
      <c r="A37" s="73" t="s">
        <v>72</v>
      </c>
      <c r="B37" s="74" t="str">
        <f>+Overview!D8</f>
        <v>High DER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</row>
    <row r="38" spans="1:31" x14ac:dyDescent="0.25">
      <c r="A38" s="2" t="s">
        <v>34</v>
      </c>
      <c r="B38" s="1">
        <v>0</v>
      </c>
      <c r="C38" s="1">
        <f>+B38+1</f>
        <v>1</v>
      </c>
      <c r="D38" s="1">
        <f t="shared" ref="D38:X38" si="53">+C38+1</f>
        <v>2</v>
      </c>
      <c r="E38" s="1">
        <f t="shared" si="53"/>
        <v>3</v>
      </c>
      <c r="F38" s="1">
        <f t="shared" si="53"/>
        <v>4</v>
      </c>
      <c r="G38" s="1">
        <f t="shared" si="53"/>
        <v>5</v>
      </c>
      <c r="H38" s="8">
        <f t="shared" si="53"/>
        <v>6</v>
      </c>
      <c r="I38" s="1">
        <f t="shared" si="53"/>
        <v>7</v>
      </c>
      <c r="J38" s="1">
        <f t="shared" si="53"/>
        <v>8</v>
      </c>
      <c r="K38" s="1">
        <f t="shared" si="53"/>
        <v>9</v>
      </c>
      <c r="L38" s="1">
        <f t="shared" si="53"/>
        <v>10</v>
      </c>
      <c r="M38" s="1">
        <f t="shared" si="53"/>
        <v>11</v>
      </c>
      <c r="N38" s="1">
        <f t="shared" si="53"/>
        <v>12</v>
      </c>
      <c r="O38" s="1">
        <f t="shared" si="53"/>
        <v>13</v>
      </c>
      <c r="P38" s="1">
        <f t="shared" si="53"/>
        <v>14</v>
      </c>
      <c r="Q38" s="1">
        <f t="shared" si="53"/>
        <v>15</v>
      </c>
      <c r="R38" s="1">
        <f t="shared" si="53"/>
        <v>16</v>
      </c>
      <c r="S38" s="1">
        <f t="shared" si="53"/>
        <v>17</v>
      </c>
      <c r="T38" s="1">
        <f t="shared" si="53"/>
        <v>18</v>
      </c>
      <c r="U38" s="1">
        <f t="shared" si="53"/>
        <v>19</v>
      </c>
      <c r="V38" s="1">
        <f t="shared" si="53"/>
        <v>20</v>
      </c>
      <c r="W38" s="1">
        <f t="shared" si="53"/>
        <v>21</v>
      </c>
      <c r="X38" s="1">
        <f t="shared" si="53"/>
        <v>22</v>
      </c>
      <c r="Y38" s="1">
        <f t="shared" ref="Y38" si="54">+X38+1</f>
        <v>23</v>
      </c>
      <c r="Z38" s="1">
        <f t="shared" ref="Z38" si="55">+Y38+1</f>
        <v>24</v>
      </c>
      <c r="AA38" s="1">
        <f t="shared" ref="AA38" si="56">+Z38+1</f>
        <v>25</v>
      </c>
      <c r="AB38" s="1">
        <f t="shared" ref="AB38" si="57">+AA38+1</f>
        <v>26</v>
      </c>
      <c r="AC38" s="1">
        <f t="shared" ref="AC38" si="58">+AB38+1</f>
        <v>27</v>
      </c>
      <c r="AD38" s="1">
        <f t="shared" ref="AD38:AE38" si="59">+AC38+1</f>
        <v>28</v>
      </c>
      <c r="AE38" s="1">
        <f t="shared" si="59"/>
        <v>29</v>
      </c>
    </row>
    <row r="39" spans="1:31" x14ac:dyDescent="0.25">
      <c r="A39" t="s">
        <v>35</v>
      </c>
      <c r="B39" s="4">
        <v>1</v>
      </c>
      <c r="C39" s="4">
        <f t="shared" ref="C39:AE39" si="60">1/((1+NotSlowWACC)^((C40-$B$10)/365))</f>
        <v>0.95419847328244267</v>
      </c>
      <c r="D39" s="4">
        <f t="shared" si="60"/>
        <v>0.91049472641454443</v>
      </c>
      <c r="E39" s="4">
        <f t="shared" si="60"/>
        <v>0.86879267787647374</v>
      </c>
      <c r="F39" s="4">
        <f t="shared" si="60"/>
        <v>0.82889417004246191</v>
      </c>
      <c r="G39" s="4">
        <f t="shared" si="60"/>
        <v>0.79092955156723455</v>
      </c>
      <c r="H39" s="4">
        <f t="shared" si="60"/>
        <v>0.75470377057942228</v>
      </c>
      <c r="I39" s="4">
        <f t="shared" si="60"/>
        <v>0.7201371856673876</v>
      </c>
      <c r="J39" s="4">
        <f t="shared" si="60"/>
        <v>0.68706554513038165</v>
      </c>
      <c r="K39" s="4">
        <f t="shared" si="60"/>
        <v>0.65559689420837941</v>
      </c>
      <c r="L39" s="4">
        <f t="shared" si="60"/>
        <v>0.62556955554234672</v>
      </c>
      <c r="M39" s="4">
        <f t="shared" si="60"/>
        <v>0.5969175148304835</v>
      </c>
      <c r="N39" s="4">
        <f t="shared" si="60"/>
        <v>0.56950462479561925</v>
      </c>
      <c r="O39" s="4">
        <f t="shared" si="60"/>
        <v>0.54342044350727026</v>
      </c>
      <c r="P39" s="4">
        <f t="shared" si="60"/>
        <v>0.51853095754510525</v>
      </c>
      <c r="Q39" s="4">
        <f t="shared" si="60"/>
        <v>0.49478144803922253</v>
      </c>
      <c r="R39" s="4">
        <f t="shared" si="60"/>
        <v>0.47205906330530845</v>
      </c>
      <c r="S39" s="4">
        <f t="shared" si="60"/>
        <v>0.45043803750506534</v>
      </c>
      <c r="T39" s="4">
        <f t="shared" si="60"/>
        <v>0.429807287695673</v>
      </c>
      <c r="U39" s="4">
        <f t="shared" si="60"/>
        <v>0.41012145772487879</v>
      </c>
      <c r="V39" s="4">
        <f t="shared" si="60"/>
        <v>0.39128700548947559</v>
      </c>
      <c r="W39" s="4">
        <f t="shared" si="60"/>
        <v>0.37336546325331643</v>
      </c>
      <c r="X39" s="4">
        <f t="shared" si="60"/>
        <v>0.35626475501270649</v>
      </c>
      <c r="Y39" s="4">
        <f t="shared" si="60"/>
        <v>0.33994728531746798</v>
      </c>
      <c r="Z39" s="4">
        <f t="shared" si="60"/>
        <v>0.32433551766359908</v>
      </c>
      <c r="AA39" s="4">
        <f t="shared" si="60"/>
        <v>0.30948045578587696</v>
      </c>
      <c r="AB39" s="4">
        <f t="shared" si="60"/>
        <v>0.29530577842163835</v>
      </c>
      <c r="AC39" s="4">
        <f t="shared" si="60"/>
        <v>0.28178032292141064</v>
      </c>
      <c r="AD39" s="4">
        <f t="shared" si="60"/>
        <v>0.26883981972906118</v>
      </c>
      <c r="AE39" s="4">
        <f t="shared" si="60"/>
        <v>0.25652654554299731</v>
      </c>
    </row>
    <row r="40" spans="1:31" x14ac:dyDescent="0.25">
      <c r="A40" s="5" t="s">
        <v>70</v>
      </c>
      <c r="B40" s="6">
        <f>+B25</f>
        <v>44013</v>
      </c>
      <c r="C40" s="6">
        <f>EDATE(B40,12)</f>
        <v>44378</v>
      </c>
      <c r="D40" s="6">
        <f t="shared" ref="D40:X40" si="61">EDATE(C40,12)</f>
        <v>44743</v>
      </c>
      <c r="E40" s="6">
        <f t="shared" si="61"/>
        <v>45108</v>
      </c>
      <c r="F40" s="6">
        <f t="shared" si="61"/>
        <v>45474</v>
      </c>
      <c r="G40" s="6">
        <f t="shared" si="61"/>
        <v>45839</v>
      </c>
      <c r="H40" s="6">
        <f t="shared" si="61"/>
        <v>46204</v>
      </c>
      <c r="I40" s="6">
        <f t="shared" si="61"/>
        <v>46569</v>
      </c>
      <c r="J40" s="6">
        <f t="shared" si="61"/>
        <v>46935</v>
      </c>
      <c r="K40" s="6">
        <f t="shared" si="61"/>
        <v>47300</v>
      </c>
      <c r="L40" s="6">
        <f t="shared" si="61"/>
        <v>47665</v>
      </c>
      <c r="M40" s="6">
        <f t="shared" si="61"/>
        <v>48030</v>
      </c>
      <c r="N40" s="6">
        <f t="shared" si="61"/>
        <v>48396</v>
      </c>
      <c r="O40" s="6">
        <f t="shared" si="61"/>
        <v>48761</v>
      </c>
      <c r="P40" s="6">
        <f t="shared" si="61"/>
        <v>49126</v>
      </c>
      <c r="Q40" s="6">
        <f t="shared" si="61"/>
        <v>49491</v>
      </c>
      <c r="R40" s="6">
        <f t="shared" si="61"/>
        <v>49857</v>
      </c>
      <c r="S40" s="6">
        <f t="shared" si="61"/>
        <v>50222</v>
      </c>
      <c r="T40" s="6">
        <f t="shared" si="61"/>
        <v>50587</v>
      </c>
      <c r="U40" s="6">
        <f t="shared" si="61"/>
        <v>50952</v>
      </c>
      <c r="V40" s="6">
        <f t="shared" si="61"/>
        <v>51318</v>
      </c>
      <c r="W40" s="6">
        <f t="shared" si="61"/>
        <v>51683</v>
      </c>
      <c r="X40" s="6">
        <f t="shared" si="61"/>
        <v>52048</v>
      </c>
      <c r="Y40" s="6">
        <f t="shared" ref="Y40" si="62">EDATE(X40,12)</f>
        <v>52413</v>
      </c>
      <c r="Z40" s="6">
        <f t="shared" ref="Z40" si="63">EDATE(Y40,12)</f>
        <v>52779</v>
      </c>
      <c r="AA40" s="6">
        <f t="shared" ref="AA40" si="64">EDATE(Z40,12)</f>
        <v>53144</v>
      </c>
      <c r="AB40" s="6">
        <f t="shared" ref="AB40" si="65">EDATE(AA40,12)</f>
        <v>53509</v>
      </c>
      <c r="AC40" s="6">
        <f t="shared" ref="AC40" si="66">EDATE(AB40,12)</f>
        <v>53874</v>
      </c>
      <c r="AD40" s="6">
        <f t="shared" ref="AD40:AE40" si="67">EDATE(AC40,12)</f>
        <v>54240</v>
      </c>
      <c r="AE40" s="6">
        <f t="shared" si="67"/>
        <v>54605</v>
      </c>
    </row>
    <row r="41" spans="1:31" x14ac:dyDescent="0.25">
      <c r="A41" s="44" t="s">
        <v>39</v>
      </c>
      <c r="B41" s="45" t="str">
        <f>+B26</f>
        <v>2020-21</v>
      </c>
      <c r="C41" s="45" t="str">
        <f t="shared" ref="C41:AE41" si="68">+C26</f>
        <v>2021-22</v>
      </c>
      <c r="D41" s="45" t="str">
        <f t="shared" si="68"/>
        <v>2022-23</v>
      </c>
      <c r="E41" s="45" t="str">
        <f t="shared" si="68"/>
        <v>2023-24</v>
      </c>
      <c r="F41" s="45" t="str">
        <f t="shared" si="68"/>
        <v>2024-25</v>
      </c>
      <c r="G41" s="45" t="str">
        <f t="shared" si="68"/>
        <v>2025-26</v>
      </c>
      <c r="H41" s="45" t="str">
        <f t="shared" si="68"/>
        <v>2026-27</v>
      </c>
      <c r="I41" s="45" t="str">
        <f t="shared" si="68"/>
        <v>2027-28</v>
      </c>
      <c r="J41" s="45" t="str">
        <f t="shared" si="68"/>
        <v>2028-29</v>
      </c>
      <c r="K41" s="45" t="str">
        <f t="shared" si="68"/>
        <v>2029-30</v>
      </c>
      <c r="L41" s="45" t="str">
        <f t="shared" si="68"/>
        <v>2030-31</v>
      </c>
      <c r="M41" s="45" t="str">
        <f t="shared" si="68"/>
        <v>2031-32</v>
      </c>
      <c r="N41" s="45" t="str">
        <f t="shared" si="68"/>
        <v>2032-33</v>
      </c>
      <c r="O41" s="45" t="str">
        <f t="shared" si="68"/>
        <v>2033-34</v>
      </c>
      <c r="P41" s="45" t="str">
        <f t="shared" si="68"/>
        <v>2034-35</v>
      </c>
      <c r="Q41" s="45" t="str">
        <f t="shared" si="68"/>
        <v>2035-36</v>
      </c>
      <c r="R41" s="45" t="str">
        <f t="shared" si="68"/>
        <v>2036-37</v>
      </c>
      <c r="S41" s="45" t="str">
        <f t="shared" si="68"/>
        <v>2037-38</v>
      </c>
      <c r="T41" s="45" t="str">
        <f t="shared" si="68"/>
        <v>2038-39</v>
      </c>
      <c r="U41" s="45" t="str">
        <f t="shared" si="68"/>
        <v>2039-40</v>
      </c>
      <c r="V41" s="45" t="str">
        <f t="shared" si="68"/>
        <v>2040-41</v>
      </c>
      <c r="W41" s="45" t="str">
        <f t="shared" si="68"/>
        <v>2041-42</v>
      </c>
      <c r="X41" s="45" t="str">
        <f t="shared" si="68"/>
        <v>2042-43</v>
      </c>
      <c r="Y41" s="45" t="str">
        <f t="shared" si="68"/>
        <v>2043-44</v>
      </c>
      <c r="Z41" s="45" t="str">
        <f t="shared" si="68"/>
        <v>2044-45</v>
      </c>
      <c r="AA41" s="45" t="str">
        <f t="shared" si="68"/>
        <v>2045-46</v>
      </c>
      <c r="AB41" s="45" t="str">
        <f t="shared" si="68"/>
        <v>2046-47</v>
      </c>
      <c r="AC41" s="45" t="str">
        <f t="shared" si="68"/>
        <v>2047-48</v>
      </c>
      <c r="AD41" s="45" t="str">
        <f t="shared" si="68"/>
        <v>2048-49</v>
      </c>
      <c r="AE41" s="45" t="str">
        <f t="shared" si="68"/>
        <v>2049-50</v>
      </c>
    </row>
    <row r="42" spans="1:31" x14ac:dyDescent="0.25">
      <c r="A42" s="52" t="str">
        <f>+A27</f>
        <v>Market benefits (PV at 2020)</v>
      </c>
      <c r="B42" s="77">
        <v>0</v>
      </c>
      <c r="C42" s="77">
        <v>-0.31577777743600854</v>
      </c>
      <c r="D42" s="77">
        <v>-0.80579080890299792</v>
      </c>
      <c r="E42" s="77">
        <v>-1.3463759109154307</v>
      </c>
      <c r="F42" s="77">
        <v>7.1329743059987614</v>
      </c>
      <c r="G42" s="77">
        <v>75.733607116150125</v>
      </c>
      <c r="H42" s="77">
        <v>-23.099318212754753</v>
      </c>
      <c r="I42" s="77">
        <v>28.73374321928673</v>
      </c>
      <c r="J42" s="77">
        <v>57.343700941267009</v>
      </c>
      <c r="K42" s="77">
        <v>46.891071750206777</v>
      </c>
      <c r="L42" s="77">
        <v>43.821062307497613</v>
      </c>
      <c r="M42" s="77">
        <v>52.761851598624837</v>
      </c>
      <c r="N42" s="77">
        <v>88.229961662580664</v>
      </c>
      <c r="O42" s="77">
        <v>82.865063755151709</v>
      </c>
      <c r="P42" s="77">
        <v>93.481576039038401</v>
      </c>
      <c r="Q42" s="77">
        <v>100.58309734220373</v>
      </c>
      <c r="R42" s="77">
        <v>105.006541477333</v>
      </c>
      <c r="S42" s="77">
        <v>135.91233463454321</v>
      </c>
      <c r="T42" s="77">
        <v>116.56663084173228</v>
      </c>
      <c r="U42" s="77">
        <v>120.48724010557955</v>
      </c>
      <c r="V42" s="77">
        <v>126.74976437699911</v>
      </c>
      <c r="W42" s="77">
        <v>127.83367183024173</v>
      </c>
      <c r="X42" s="77">
        <v>127.45953288923182</v>
      </c>
      <c r="Y42" s="77">
        <v>121.60841965601946</v>
      </c>
      <c r="Z42" s="77">
        <v>112.50686205259058</v>
      </c>
      <c r="AA42" s="77">
        <v>104.13113800932601</v>
      </c>
      <c r="AB42" s="77">
        <v>110.63754497482599</v>
      </c>
      <c r="AC42" s="77">
        <v>105.50574984674348</v>
      </c>
      <c r="AD42" s="77">
        <v>110.19609767157287</v>
      </c>
      <c r="AE42" s="77">
        <v>100.85568890056092</v>
      </c>
    </row>
    <row r="43" spans="1:31" x14ac:dyDescent="0.25">
      <c r="A43" s="48" t="s">
        <v>42</v>
      </c>
      <c r="B43" s="49">
        <f t="shared" ref="B43:X43" si="69">+B42/B39</f>
        <v>0</v>
      </c>
      <c r="C43" s="49">
        <f t="shared" si="69"/>
        <v>-0.33093511075293697</v>
      </c>
      <c r="D43" s="49">
        <f t="shared" si="69"/>
        <v>-0.88500326858139844</v>
      </c>
      <c r="E43" s="49">
        <f t="shared" si="69"/>
        <v>-1.5497090907882405</v>
      </c>
      <c r="F43" s="49">
        <f t="shared" si="69"/>
        <v>8.6054101522192621</v>
      </c>
      <c r="G43" s="49">
        <f t="shared" si="69"/>
        <v>95.752658332317026</v>
      </c>
      <c r="H43" s="49">
        <f t="shared" si="69"/>
        <v>-30.607132378602401</v>
      </c>
      <c r="I43" s="49">
        <f t="shared" si="69"/>
        <v>39.900374249744807</v>
      </c>
      <c r="J43" s="49">
        <f t="shared" si="69"/>
        <v>83.461761905678344</v>
      </c>
      <c r="K43" s="49">
        <f t="shared" si="69"/>
        <v>71.524243272730629</v>
      </c>
      <c r="L43" s="49">
        <f t="shared" si="69"/>
        <v>70.049864030717259</v>
      </c>
      <c r="M43" s="49">
        <f t="shared" si="69"/>
        <v>88.390523460529536</v>
      </c>
      <c r="N43" s="49">
        <f t="shared" si="69"/>
        <v>154.92404770943546</v>
      </c>
      <c r="O43" s="49">
        <f t="shared" si="69"/>
        <v>152.48793957830387</v>
      </c>
      <c r="P43" s="49">
        <f t="shared" si="69"/>
        <v>180.28157177270705</v>
      </c>
      <c r="Q43" s="49">
        <f t="shared" si="69"/>
        <v>203.28793195623265</v>
      </c>
      <c r="R43" s="49">
        <f t="shared" si="69"/>
        <v>222.44365088997154</v>
      </c>
      <c r="S43" s="49">
        <f t="shared" si="69"/>
        <v>301.73369768536662</v>
      </c>
      <c r="T43" s="49">
        <f t="shared" si="69"/>
        <v>271.20673422426427</v>
      </c>
      <c r="U43" s="49">
        <f t="shared" si="69"/>
        <v>293.78428715721049</v>
      </c>
      <c r="V43" s="49">
        <f t="shared" si="69"/>
        <v>323.93042089001415</v>
      </c>
      <c r="W43" s="49">
        <f t="shared" si="69"/>
        <v>342.38215478304886</v>
      </c>
      <c r="X43" s="49">
        <f t="shared" si="69"/>
        <v>357.76632713692339</v>
      </c>
      <c r="Y43" s="49">
        <f t="shared" ref="Y43:AD43" si="70">+Y42/Y39</f>
        <v>357.72728569505273</v>
      </c>
      <c r="Z43" s="49">
        <f t="shared" si="70"/>
        <v>346.88418605230504</v>
      </c>
      <c r="AA43" s="49">
        <f t="shared" si="70"/>
        <v>336.4708047391922</v>
      </c>
      <c r="AB43" s="49">
        <f t="shared" si="70"/>
        <v>374.65418240769202</v>
      </c>
      <c r="AC43" s="49">
        <f t="shared" si="70"/>
        <v>374.4255409777827</v>
      </c>
      <c r="AD43" s="49">
        <f t="shared" si="70"/>
        <v>409.89499912114707</v>
      </c>
      <c r="AE43" s="49">
        <f t="shared" ref="AE43" si="71">+AE42/AE39</f>
        <v>393.15887830273749</v>
      </c>
    </row>
    <row r="44" spans="1:31" x14ac:dyDescent="0.25">
      <c r="A44" s="50" t="s">
        <v>40</v>
      </c>
      <c r="B44" s="51">
        <f t="shared" ref="B44:H44" si="72">+B29</f>
        <v>0</v>
      </c>
      <c r="C44" s="51">
        <f t="shared" si="72"/>
        <v>0</v>
      </c>
      <c r="D44" s="51">
        <f t="shared" si="72"/>
        <v>0</v>
      </c>
      <c r="E44" s="51">
        <f t="shared" si="72"/>
        <v>0</v>
      </c>
      <c r="F44" s="51">
        <f t="shared" si="72"/>
        <v>0</v>
      </c>
      <c r="G44" s="51">
        <f t="shared" si="72"/>
        <v>0</v>
      </c>
      <c r="H44" s="51">
        <f t="shared" si="72"/>
        <v>0</v>
      </c>
      <c r="I44" s="51">
        <f>+I29</f>
        <v>15.788363499540408</v>
      </c>
      <c r="J44" s="51">
        <f t="shared" ref="J44:AE44" si="73">+J29</f>
        <v>15.876122651112929</v>
      </c>
      <c r="K44" s="51">
        <f t="shared" si="73"/>
        <v>15.961779131322926</v>
      </c>
      <c r="L44" s="51">
        <f t="shared" si="73"/>
        <v>16.048292176335021</v>
      </c>
      <c r="M44" s="51">
        <f t="shared" si="73"/>
        <v>16.135670351797238</v>
      </c>
      <c r="N44" s="51">
        <f t="shared" si="73"/>
        <v>16.223922309014075</v>
      </c>
      <c r="O44" s="51">
        <f t="shared" si="73"/>
        <v>16.313056785803084</v>
      </c>
      <c r="P44" s="51">
        <f t="shared" si="73"/>
        <v>16.40308260735998</v>
      </c>
      <c r="Q44" s="51">
        <f t="shared" si="73"/>
        <v>16.49400868713245</v>
      </c>
      <c r="R44" s="51">
        <f t="shared" si="73"/>
        <v>16.585844027702642</v>
      </c>
      <c r="S44" s="51">
        <f t="shared" si="73"/>
        <v>16.678597721678535</v>
      </c>
      <c r="T44" s="51">
        <f t="shared" si="73"/>
        <v>16.772278952594188</v>
      </c>
      <c r="U44" s="51">
        <f t="shared" si="73"/>
        <v>16.866896995818998</v>
      </c>
      <c r="V44" s="51">
        <f t="shared" si="73"/>
        <v>16.962461219476054</v>
      </c>
      <c r="W44" s="51">
        <f t="shared" si="73"/>
        <v>17.058981085369684</v>
      </c>
      <c r="X44" s="51">
        <f t="shared" si="73"/>
        <v>17.156466149922252</v>
      </c>
      <c r="Y44" s="51">
        <f t="shared" si="73"/>
        <v>17.25492606512034</v>
      </c>
      <c r="Z44" s="51">
        <f t="shared" si="73"/>
        <v>17.354370579470412</v>
      </c>
      <c r="AA44" s="51">
        <f t="shared" si="73"/>
        <v>17.454809538963978</v>
      </c>
      <c r="AB44" s="51">
        <f t="shared" si="73"/>
        <v>17.556252888052487</v>
      </c>
      <c r="AC44" s="51">
        <f t="shared" si="73"/>
        <v>17.658710670631876</v>
      </c>
      <c r="AD44" s="51">
        <f t="shared" si="73"/>
        <v>17.762193031037071</v>
      </c>
      <c r="AE44" s="51">
        <f t="shared" si="73"/>
        <v>17.866710215046304</v>
      </c>
    </row>
    <row r="45" spans="1:31" x14ac:dyDescent="0.25">
      <c r="A45" s="46" t="s">
        <v>41</v>
      </c>
      <c r="B45" s="47">
        <f>+B44+B43</f>
        <v>0</v>
      </c>
      <c r="C45" s="47">
        <f t="shared" ref="C45:X45" si="74">+C44+C43</f>
        <v>-0.33093511075293697</v>
      </c>
      <c r="D45" s="47">
        <f t="shared" si="74"/>
        <v>-0.88500326858139844</v>
      </c>
      <c r="E45" s="47">
        <f t="shared" si="74"/>
        <v>-1.5497090907882405</v>
      </c>
      <c r="F45" s="47">
        <f t="shared" si="74"/>
        <v>8.6054101522192621</v>
      </c>
      <c r="G45" s="47">
        <f t="shared" si="74"/>
        <v>95.752658332317026</v>
      </c>
      <c r="H45" s="47">
        <f t="shared" si="74"/>
        <v>-30.607132378602401</v>
      </c>
      <c r="I45" s="47">
        <f t="shared" si="74"/>
        <v>55.688737749285217</v>
      </c>
      <c r="J45" s="47">
        <f t="shared" si="74"/>
        <v>99.337884556791266</v>
      </c>
      <c r="K45" s="47">
        <f t="shared" si="74"/>
        <v>87.486022404053557</v>
      </c>
      <c r="L45" s="47">
        <f t="shared" si="74"/>
        <v>86.098156207052284</v>
      </c>
      <c r="M45" s="47">
        <f t="shared" si="74"/>
        <v>104.52619381232677</v>
      </c>
      <c r="N45" s="47">
        <f t="shared" si="74"/>
        <v>171.14797001844954</v>
      </c>
      <c r="O45" s="47">
        <f t="shared" si="74"/>
        <v>168.80099636410694</v>
      </c>
      <c r="P45" s="47">
        <f t="shared" si="74"/>
        <v>196.68465438006703</v>
      </c>
      <c r="Q45" s="47">
        <f t="shared" si="74"/>
        <v>219.78194064336509</v>
      </c>
      <c r="R45" s="47">
        <f t="shared" si="74"/>
        <v>239.02949491767419</v>
      </c>
      <c r="S45" s="47">
        <f t="shared" si="74"/>
        <v>318.41229540704518</v>
      </c>
      <c r="T45" s="47">
        <f t="shared" si="74"/>
        <v>287.97901317685847</v>
      </c>
      <c r="U45" s="47">
        <f t="shared" si="74"/>
        <v>310.65118415302948</v>
      </c>
      <c r="V45" s="47">
        <f t="shared" si="74"/>
        <v>340.89288210949019</v>
      </c>
      <c r="W45" s="47">
        <f t="shared" si="74"/>
        <v>359.44113586841854</v>
      </c>
      <c r="X45" s="47">
        <f t="shared" si="74"/>
        <v>374.92279328684566</v>
      </c>
      <c r="Y45" s="47">
        <f t="shared" ref="Y45:AD45" si="75">+Y44+Y43</f>
        <v>374.98221176017307</v>
      </c>
      <c r="Z45" s="47">
        <f t="shared" si="75"/>
        <v>364.23855663177545</v>
      </c>
      <c r="AA45" s="47">
        <f t="shared" si="75"/>
        <v>353.92561427815616</v>
      </c>
      <c r="AB45" s="47">
        <f t="shared" si="75"/>
        <v>392.2104352957445</v>
      </c>
      <c r="AC45" s="47">
        <f t="shared" si="75"/>
        <v>392.08425164841458</v>
      </c>
      <c r="AD45" s="47">
        <f t="shared" si="75"/>
        <v>427.65719215218417</v>
      </c>
      <c r="AE45" s="47">
        <f t="shared" ref="AE45" si="76">+AE44+AE43</f>
        <v>411.02558851778377</v>
      </c>
    </row>
    <row r="46" spans="1:31" x14ac:dyDescent="0.25">
      <c r="A46" s="53" t="s">
        <v>67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181">
        <f>+I31</f>
        <v>134.68414727817313</v>
      </c>
      <c r="J46" s="54">
        <f>+J31</f>
        <v>134.68414727817313</v>
      </c>
      <c r="K46" s="54">
        <f t="shared" ref="K46:X46" si="77">+K31</f>
        <v>134.68414727817313</v>
      </c>
      <c r="L46" s="54">
        <f t="shared" si="77"/>
        <v>134.68414727817313</v>
      </c>
      <c r="M46" s="54">
        <f t="shared" si="77"/>
        <v>134.68414727817313</v>
      </c>
      <c r="N46" s="54">
        <f t="shared" si="77"/>
        <v>134.68414727817313</v>
      </c>
      <c r="O46" s="54">
        <f t="shared" si="77"/>
        <v>134.68414727817313</v>
      </c>
      <c r="P46" s="54">
        <f t="shared" si="77"/>
        <v>134.68414727817313</v>
      </c>
      <c r="Q46" s="54">
        <f t="shared" si="77"/>
        <v>134.68414727817313</v>
      </c>
      <c r="R46" s="54">
        <f t="shared" si="77"/>
        <v>134.68414727817313</v>
      </c>
      <c r="S46" s="54">
        <f t="shared" si="77"/>
        <v>134.68414727817313</v>
      </c>
      <c r="T46" s="54">
        <f t="shared" si="77"/>
        <v>134.68414727817313</v>
      </c>
      <c r="U46" s="54">
        <f t="shared" si="77"/>
        <v>134.68414727817313</v>
      </c>
      <c r="V46" s="54">
        <f t="shared" si="77"/>
        <v>134.68414727817313</v>
      </c>
      <c r="W46" s="54">
        <f t="shared" si="77"/>
        <v>134.68414727817313</v>
      </c>
      <c r="X46" s="54">
        <f t="shared" si="77"/>
        <v>134.68414727817313</v>
      </c>
      <c r="Y46" s="54">
        <f t="shared" ref="Y46:AD46" si="78">+Y31</f>
        <v>134.68414727817313</v>
      </c>
      <c r="Z46" s="54">
        <f t="shared" si="78"/>
        <v>134.68414727817313</v>
      </c>
      <c r="AA46" s="54">
        <f t="shared" si="78"/>
        <v>134.68414727817313</v>
      </c>
      <c r="AB46" s="54">
        <f t="shared" si="78"/>
        <v>134.68414727817313</v>
      </c>
      <c r="AC46" s="54">
        <f t="shared" si="78"/>
        <v>134.68414727817313</v>
      </c>
      <c r="AD46" s="54">
        <f t="shared" si="78"/>
        <v>134.68414727817313</v>
      </c>
      <c r="AE46" s="54">
        <f t="shared" ref="AE46" si="79">+AE31</f>
        <v>134.68414727817313</v>
      </c>
    </row>
    <row r="47" spans="1:31" x14ac:dyDescent="0.25">
      <c r="A47" t="s">
        <v>68</v>
      </c>
      <c r="B47" s="43">
        <f>XNPV(NotSlowWACC,B45:AE45,$B$10:$AE$10)</f>
        <v>2449.6540551331418</v>
      </c>
      <c r="C47" s="134"/>
      <c r="D47" s="135"/>
      <c r="E47" s="136"/>
      <c r="F47" s="137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</row>
    <row r="48" spans="1:31" x14ac:dyDescent="0.25">
      <c r="A48" t="s">
        <v>69</v>
      </c>
      <c r="B48" s="43">
        <f>+XNPV(NotSlowWACC,B46:AE46,$B$10:$AE$10)</f>
        <v>1396.8204654430087</v>
      </c>
      <c r="C48" s="134"/>
      <c r="D48" s="135"/>
      <c r="E48" s="136"/>
      <c r="F48" s="137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</row>
    <row r="49" spans="1:31" ht="15.75" thickBot="1" x14ac:dyDescent="0.3">
      <c r="A49" s="1" t="s">
        <v>119</v>
      </c>
      <c r="B49" s="68">
        <f>+B47-B48</f>
        <v>1052.8335896901331</v>
      </c>
      <c r="C49" s="134"/>
      <c r="D49" s="135"/>
      <c r="E49" s="136"/>
      <c r="F49" s="137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</row>
    <row r="50" spans="1:31" ht="16.5" thickTop="1" thickBot="1" x14ac:dyDescent="0.3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</row>
    <row r="51" spans="1:31" ht="15.75" thickTop="1" x14ac:dyDescent="0.25">
      <c r="A51" s="71" t="str">
        <f>+A2</f>
        <v xml:space="preserve">Option 1:  600 MW in 2027 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</row>
    <row r="52" spans="1:31" x14ac:dyDescent="0.25">
      <c r="A52" s="73" t="s">
        <v>72</v>
      </c>
      <c r="B52" s="74" t="str">
        <f>+Overview!D9</f>
        <v xml:space="preserve">Fast Change 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</row>
    <row r="53" spans="1:31" x14ac:dyDescent="0.25">
      <c r="A53" s="2" t="s">
        <v>34</v>
      </c>
      <c r="B53" s="1">
        <v>0</v>
      </c>
      <c r="C53" s="1">
        <f>+B53+1</f>
        <v>1</v>
      </c>
      <c r="D53" s="1">
        <f t="shared" ref="D53:X53" si="80">+C53+1</f>
        <v>2</v>
      </c>
      <c r="E53" s="1">
        <f t="shared" si="80"/>
        <v>3</v>
      </c>
      <c r="F53" s="1">
        <f t="shared" si="80"/>
        <v>4</v>
      </c>
      <c r="G53" s="1">
        <f t="shared" si="80"/>
        <v>5</v>
      </c>
      <c r="H53" s="8">
        <f t="shared" si="80"/>
        <v>6</v>
      </c>
      <c r="I53" s="1">
        <f t="shared" si="80"/>
        <v>7</v>
      </c>
      <c r="J53" s="1">
        <f t="shared" si="80"/>
        <v>8</v>
      </c>
      <c r="K53" s="1">
        <f t="shared" si="80"/>
        <v>9</v>
      </c>
      <c r="L53" s="1">
        <f t="shared" si="80"/>
        <v>10</v>
      </c>
      <c r="M53" s="1">
        <f t="shared" si="80"/>
        <v>11</v>
      </c>
      <c r="N53" s="1">
        <f t="shared" si="80"/>
        <v>12</v>
      </c>
      <c r="O53" s="1">
        <f t="shared" si="80"/>
        <v>13</v>
      </c>
      <c r="P53" s="1">
        <f t="shared" si="80"/>
        <v>14</v>
      </c>
      <c r="Q53" s="1">
        <f t="shared" si="80"/>
        <v>15</v>
      </c>
      <c r="R53" s="1">
        <f t="shared" si="80"/>
        <v>16</v>
      </c>
      <c r="S53" s="1">
        <f t="shared" si="80"/>
        <v>17</v>
      </c>
      <c r="T53" s="1">
        <f t="shared" si="80"/>
        <v>18</v>
      </c>
      <c r="U53" s="1">
        <f t="shared" si="80"/>
        <v>19</v>
      </c>
      <c r="V53" s="1">
        <f t="shared" si="80"/>
        <v>20</v>
      </c>
      <c r="W53" s="1">
        <f t="shared" si="80"/>
        <v>21</v>
      </c>
      <c r="X53" s="1">
        <f t="shared" si="80"/>
        <v>22</v>
      </c>
      <c r="Y53" s="1">
        <f t="shared" ref="Y53" si="81">+X53+1</f>
        <v>23</v>
      </c>
      <c r="Z53" s="1">
        <f t="shared" ref="Z53" si="82">+Y53+1</f>
        <v>24</v>
      </c>
      <c r="AA53" s="1">
        <f t="shared" ref="AA53" si="83">+Z53+1</f>
        <v>25</v>
      </c>
      <c r="AB53" s="1">
        <f t="shared" ref="AB53" si="84">+AA53+1</f>
        <v>26</v>
      </c>
      <c r="AC53" s="1">
        <f t="shared" ref="AC53" si="85">+AB53+1</f>
        <v>27</v>
      </c>
      <c r="AD53" s="1">
        <f t="shared" ref="AD53:AE53" si="86">+AC53+1</f>
        <v>28</v>
      </c>
      <c r="AE53" s="1">
        <f t="shared" si="86"/>
        <v>29</v>
      </c>
    </row>
    <row r="54" spans="1:31" x14ac:dyDescent="0.25">
      <c r="A54" t="s">
        <v>35</v>
      </c>
      <c r="B54" s="4">
        <v>1</v>
      </c>
      <c r="C54" s="4">
        <f t="shared" ref="C54:AE54" si="87">1/((1+NotSlowWACC)^((C55-$B$10)/365))</f>
        <v>0.95419847328244267</v>
      </c>
      <c r="D54" s="4">
        <f t="shared" si="87"/>
        <v>0.91049472641454443</v>
      </c>
      <c r="E54" s="4">
        <f t="shared" si="87"/>
        <v>0.86879267787647374</v>
      </c>
      <c r="F54" s="4">
        <f t="shared" si="87"/>
        <v>0.82889417004246191</v>
      </c>
      <c r="G54" s="4">
        <f t="shared" si="87"/>
        <v>0.79092955156723455</v>
      </c>
      <c r="H54" s="4">
        <f t="shared" si="87"/>
        <v>0.75470377057942228</v>
      </c>
      <c r="I54" s="4">
        <f t="shared" si="87"/>
        <v>0.7201371856673876</v>
      </c>
      <c r="J54" s="4">
        <f t="shared" si="87"/>
        <v>0.68706554513038165</v>
      </c>
      <c r="K54" s="4">
        <f t="shared" si="87"/>
        <v>0.65559689420837941</v>
      </c>
      <c r="L54" s="4">
        <f t="shared" si="87"/>
        <v>0.62556955554234672</v>
      </c>
      <c r="M54" s="4">
        <f t="shared" si="87"/>
        <v>0.5969175148304835</v>
      </c>
      <c r="N54" s="4">
        <f t="shared" si="87"/>
        <v>0.56950462479561925</v>
      </c>
      <c r="O54" s="4">
        <f t="shared" si="87"/>
        <v>0.54342044350727026</v>
      </c>
      <c r="P54" s="4">
        <f t="shared" si="87"/>
        <v>0.51853095754510525</v>
      </c>
      <c r="Q54" s="4">
        <f t="shared" si="87"/>
        <v>0.49478144803922253</v>
      </c>
      <c r="R54" s="4">
        <f t="shared" si="87"/>
        <v>0.47205906330530845</v>
      </c>
      <c r="S54" s="4">
        <f t="shared" si="87"/>
        <v>0.45043803750506534</v>
      </c>
      <c r="T54" s="4">
        <f t="shared" si="87"/>
        <v>0.429807287695673</v>
      </c>
      <c r="U54" s="4">
        <f t="shared" si="87"/>
        <v>0.41012145772487879</v>
      </c>
      <c r="V54" s="4">
        <f t="shared" si="87"/>
        <v>0.39128700548947559</v>
      </c>
      <c r="W54" s="4">
        <f t="shared" si="87"/>
        <v>0.37336546325331643</v>
      </c>
      <c r="X54" s="4">
        <f t="shared" si="87"/>
        <v>0.35626475501270649</v>
      </c>
      <c r="Y54" s="4">
        <f t="shared" si="87"/>
        <v>0.33994728531746798</v>
      </c>
      <c r="Z54" s="4">
        <f t="shared" si="87"/>
        <v>0.32433551766359908</v>
      </c>
      <c r="AA54" s="4">
        <f t="shared" si="87"/>
        <v>0.30948045578587696</v>
      </c>
      <c r="AB54" s="4">
        <f t="shared" si="87"/>
        <v>0.29530577842163835</v>
      </c>
      <c r="AC54" s="4">
        <f t="shared" si="87"/>
        <v>0.28178032292141064</v>
      </c>
      <c r="AD54" s="4">
        <f t="shared" si="87"/>
        <v>0.26883981972906118</v>
      </c>
      <c r="AE54" s="4">
        <f t="shared" si="87"/>
        <v>0.25652654554299731</v>
      </c>
    </row>
    <row r="55" spans="1:31" x14ac:dyDescent="0.25">
      <c r="A55" s="5" t="s">
        <v>70</v>
      </c>
      <c r="B55" s="6">
        <f>+B40</f>
        <v>44013</v>
      </c>
      <c r="C55" s="6">
        <f t="shared" ref="C55:AE55" si="88">+C40</f>
        <v>44378</v>
      </c>
      <c r="D55" s="6">
        <f t="shared" si="88"/>
        <v>44743</v>
      </c>
      <c r="E55" s="6">
        <f t="shared" si="88"/>
        <v>45108</v>
      </c>
      <c r="F55" s="6">
        <f t="shared" si="88"/>
        <v>45474</v>
      </c>
      <c r="G55" s="6">
        <f t="shared" si="88"/>
        <v>45839</v>
      </c>
      <c r="H55" s="6">
        <f t="shared" si="88"/>
        <v>46204</v>
      </c>
      <c r="I55" s="6">
        <f t="shared" si="88"/>
        <v>46569</v>
      </c>
      <c r="J55" s="6">
        <f t="shared" si="88"/>
        <v>46935</v>
      </c>
      <c r="K55" s="6">
        <f t="shared" si="88"/>
        <v>47300</v>
      </c>
      <c r="L55" s="6">
        <f t="shared" si="88"/>
        <v>47665</v>
      </c>
      <c r="M55" s="6">
        <f t="shared" si="88"/>
        <v>48030</v>
      </c>
      <c r="N55" s="6">
        <f t="shared" si="88"/>
        <v>48396</v>
      </c>
      <c r="O55" s="6">
        <f t="shared" si="88"/>
        <v>48761</v>
      </c>
      <c r="P55" s="6">
        <f t="shared" si="88"/>
        <v>49126</v>
      </c>
      <c r="Q55" s="6">
        <f t="shared" si="88"/>
        <v>49491</v>
      </c>
      <c r="R55" s="6">
        <f t="shared" si="88"/>
        <v>49857</v>
      </c>
      <c r="S55" s="6">
        <f t="shared" si="88"/>
        <v>50222</v>
      </c>
      <c r="T55" s="6">
        <f t="shared" si="88"/>
        <v>50587</v>
      </c>
      <c r="U55" s="6">
        <f t="shared" si="88"/>
        <v>50952</v>
      </c>
      <c r="V55" s="6">
        <f t="shared" si="88"/>
        <v>51318</v>
      </c>
      <c r="W55" s="6">
        <f t="shared" si="88"/>
        <v>51683</v>
      </c>
      <c r="X55" s="6">
        <f t="shared" si="88"/>
        <v>52048</v>
      </c>
      <c r="Y55" s="6">
        <f t="shared" si="88"/>
        <v>52413</v>
      </c>
      <c r="Z55" s="6">
        <f t="shared" si="88"/>
        <v>52779</v>
      </c>
      <c r="AA55" s="6">
        <f t="shared" si="88"/>
        <v>53144</v>
      </c>
      <c r="AB55" s="6">
        <f t="shared" si="88"/>
        <v>53509</v>
      </c>
      <c r="AC55" s="6">
        <f t="shared" si="88"/>
        <v>53874</v>
      </c>
      <c r="AD55" s="6">
        <f t="shared" si="88"/>
        <v>54240</v>
      </c>
      <c r="AE55" s="6">
        <f t="shared" si="88"/>
        <v>54605</v>
      </c>
    </row>
    <row r="56" spans="1:31" x14ac:dyDescent="0.25">
      <c r="A56" s="44" t="s">
        <v>39</v>
      </c>
      <c r="B56" s="45" t="str">
        <f>+B41</f>
        <v>2020-21</v>
      </c>
      <c r="C56" s="45" t="str">
        <f t="shared" ref="C56:AE56" si="89">+C41</f>
        <v>2021-22</v>
      </c>
      <c r="D56" s="45" t="str">
        <f t="shared" si="89"/>
        <v>2022-23</v>
      </c>
      <c r="E56" s="45" t="str">
        <f t="shared" si="89"/>
        <v>2023-24</v>
      </c>
      <c r="F56" s="45" t="str">
        <f t="shared" si="89"/>
        <v>2024-25</v>
      </c>
      <c r="G56" s="45" t="str">
        <f t="shared" si="89"/>
        <v>2025-26</v>
      </c>
      <c r="H56" s="45" t="str">
        <f t="shared" si="89"/>
        <v>2026-27</v>
      </c>
      <c r="I56" s="45" t="str">
        <f t="shared" si="89"/>
        <v>2027-28</v>
      </c>
      <c r="J56" s="45" t="str">
        <f t="shared" si="89"/>
        <v>2028-29</v>
      </c>
      <c r="K56" s="45" t="str">
        <f t="shared" si="89"/>
        <v>2029-30</v>
      </c>
      <c r="L56" s="45" t="str">
        <f t="shared" si="89"/>
        <v>2030-31</v>
      </c>
      <c r="M56" s="45" t="str">
        <f t="shared" si="89"/>
        <v>2031-32</v>
      </c>
      <c r="N56" s="45" t="str">
        <f t="shared" si="89"/>
        <v>2032-33</v>
      </c>
      <c r="O56" s="45" t="str">
        <f t="shared" si="89"/>
        <v>2033-34</v>
      </c>
      <c r="P56" s="45" t="str">
        <f t="shared" si="89"/>
        <v>2034-35</v>
      </c>
      <c r="Q56" s="45" t="str">
        <f t="shared" si="89"/>
        <v>2035-36</v>
      </c>
      <c r="R56" s="45" t="str">
        <f t="shared" si="89"/>
        <v>2036-37</v>
      </c>
      <c r="S56" s="45" t="str">
        <f t="shared" si="89"/>
        <v>2037-38</v>
      </c>
      <c r="T56" s="45" t="str">
        <f t="shared" si="89"/>
        <v>2038-39</v>
      </c>
      <c r="U56" s="45" t="str">
        <f t="shared" si="89"/>
        <v>2039-40</v>
      </c>
      <c r="V56" s="45" t="str">
        <f t="shared" si="89"/>
        <v>2040-41</v>
      </c>
      <c r="W56" s="45" t="str">
        <f t="shared" si="89"/>
        <v>2041-42</v>
      </c>
      <c r="X56" s="45" t="str">
        <f t="shared" si="89"/>
        <v>2042-43</v>
      </c>
      <c r="Y56" s="45" t="str">
        <f t="shared" si="89"/>
        <v>2043-44</v>
      </c>
      <c r="Z56" s="45" t="str">
        <f t="shared" si="89"/>
        <v>2044-45</v>
      </c>
      <c r="AA56" s="45" t="str">
        <f t="shared" si="89"/>
        <v>2045-46</v>
      </c>
      <c r="AB56" s="45" t="str">
        <f t="shared" si="89"/>
        <v>2046-47</v>
      </c>
      <c r="AC56" s="45" t="str">
        <f t="shared" si="89"/>
        <v>2047-48</v>
      </c>
      <c r="AD56" s="45" t="str">
        <f t="shared" si="89"/>
        <v>2048-49</v>
      </c>
      <c r="AE56" s="45" t="str">
        <f t="shared" si="89"/>
        <v>2049-50</v>
      </c>
    </row>
    <row r="57" spans="1:31" x14ac:dyDescent="0.25">
      <c r="A57" s="52" t="str">
        <f>+A42</f>
        <v>Market benefits (PV at 2020)</v>
      </c>
      <c r="B57" s="77">
        <v>0</v>
      </c>
      <c r="C57" s="77">
        <v>1.0942027802232346</v>
      </c>
      <c r="D57" s="77">
        <v>1.0449778054517345</v>
      </c>
      <c r="E57" s="77">
        <v>0.60438406104356635</v>
      </c>
      <c r="F57" s="77">
        <v>5.6883988582031676E-2</v>
      </c>
      <c r="G57" s="77">
        <v>58.947051586392902</v>
      </c>
      <c r="H57" s="77">
        <v>-29.676429028788579</v>
      </c>
      <c r="I57" s="77">
        <v>41.133155706399215</v>
      </c>
      <c r="J57" s="77">
        <v>66.34721527600351</v>
      </c>
      <c r="K57" s="77">
        <v>47.226284613958107</v>
      </c>
      <c r="L57" s="77">
        <v>45.920218927839066</v>
      </c>
      <c r="M57" s="77">
        <v>54.058483604660054</v>
      </c>
      <c r="N57" s="77">
        <v>101.23841375705419</v>
      </c>
      <c r="O57" s="77">
        <v>96.669687879936689</v>
      </c>
      <c r="P57" s="77">
        <v>110.23484644261799</v>
      </c>
      <c r="Q57" s="77">
        <v>120.31359882405756</v>
      </c>
      <c r="R57" s="77">
        <v>111.5927487509019</v>
      </c>
      <c r="S57" s="77">
        <v>150.22561501162645</v>
      </c>
      <c r="T57" s="77">
        <v>128.46849009973272</v>
      </c>
      <c r="U57" s="77">
        <v>121.4098042985228</v>
      </c>
      <c r="V57" s="77">
        <v>130.06249601998059</v>
      </c>
      <c r="W57" s="77">
        <v>124.71871092059423</v>
      </c>
      <c r="X57" s="77">
        <v>133.5290175522949</v>
      </c>
      <c r="Y57" s="77">
        <v>131.00945379000999</v>
      </c>
      <c r="Z57" s="77">
        <v>120.37728661602416</v>
      </c>
      <c r="AA57" s="77">
        <v>111.8010337097045</v>
      </c>
      <c r="AB57" s="77">
        <v>109.77088658730463</v>
      </c>
      <c r="AC57" s="77">
        <v>108.6520500407443</v>
      </c>
      <c r="AD57" s="77">
        <v>116.31267248059007</v>
      </c>
      <c r="AE57" s="77">
        <v>111.85084276739943</v>
      </c>
    </row>
    <row r="58" spans="1:31" x14ac:dyDescent="0.25">
      <c r="A58" s="48" t="s">
        <v>42</v>
      </c>
      <c r="B58" s="49">
        <f t="shared" ref="B58:X58" si="90">+B57/B54</f>
        <v>0</v>
      </c>
      <c r="C58" s="49">
        <f t="shared" si="90"/>
        <v>1.1467245136739499</v>
      </c>
      <c r="D58" s="49">
        <f t="shared" si="90"/>
        <v>1.147703303638862</v>
      </c>
      <c r="E58" s="49">
        <f t="shared" si="90"/>
        <v>0.69565970850585201</v>
      </c>
      <c r="F58" s="49">
        <f t="shared" si="90"/>
        <v>6.8626358632873086E-2</v>
      </c>
      <c r="G58" s="49">
        <f t="shared" si="90"/>
        <v>74.528826833677854</v>
      </c>
      <c r="H58" s="49">
        <f t="shared" si="90"/>
        <v>-39.321956753978533</v>
      </c>
      <c r="I58" s="49">
        <f t="shared" si="90"/>
        <v>57.118499815113751</v>
      </c>
      <c r="J58" s="49">
        <f t="shared" si="90"/>
        <v>96.566063814789416</v>
      </c>
      <c r="K58" s="49">
        <f t="shared" si="90"/>
        <v>72.035552686659585</v>
      </c>
      <c r="L58" s="49">
        <f t="shared" si="90"/>
        <v>73.405456709011133</v>
      </c>
      <c r="M58" s="49">
        <f t="shared" si="90"/>
        <v>90.562736494692956</v>
      </c>
      <c r="N58" s="49">
        <f t="shared" si="90"/>
        <v>177.7657447354112</v>
      </c>
      <c r="O58" s="49">
        <f t="shared" si="90"/>
        <v>177.89115046173887</v>
      </c>
      <c r="P58" s="49">
        <f t="shared" si="90"/>
        <v>212.59067532728562</v>
      </c>
      <c r="Q58" s="49">
        <f t="shared" si="90"/>
        <v>243.16513745786202</v>
      </c>
      <c r="R58" s="49">
        <f t="shared" si="90"/>
        <v>236.39573397773805</v>
      </c>
      <c r="S58" s="49">
        <f t="shared" si="90"/>
        <v>333.51005577528986</v>
      </c>
      <c r="T58" s="49">
        <f t="shared" si="90"/>
        <v>298.89788697742</v>
      </c>
      <c r="U58" s="49">
        <f t="shared" si="90"/>
        <v>296.03377734009706</v>
      </c>
      <c r="V58" s="49">
        <f t="shared" si="90"/>
        <v>332.39666586239053</v>
      </c>
      <c r="W58" s="49">
        <f t="shared" si="90"/>
        <v>334.03922750074128</v>
      </c>
      <c r="X58" s="49">
        <f t="shared" si="90"/>
        <v>374.80277146004096</v>
      </c>
      <c r="Y58" s="49">
        <f t="shared" ref="Y58:AD58" si="91">+Y57/Y54</f>
        <v>385.38167371351017</v>
      </c>
      <c r="Z58" s="49">
        <f t="shared" si="91"/>
        <v>371.15049095819205</v>
      </c>
      <c r="AA58" s="49">
        <f t="shared" si="91"/>
        <v>361.25393904375431</v>
      </c>
      <c r="AB58" s="49">
        <f t="shared" si="91"/>
        <v>371.7193993765116</v>
      </c>
      <c r="AC58" s="49">
        <f t="shared" si="91"/>
        <v>385.59133197901713</v>
      </c>
      <c r="AD58" s="49">
        <f t="shared" si="91"/>
        <v>432.64674332028216</v>
      </c>
      <c r="AE58" s="49">
        <f t="shared" ref="AE58" si="92">+AE57/AE54</f>
        <v>436.02053943634348</v>
      </c>
    </row>
    <row r="59" spans="1:31" x14ac:dyDescent="0.25">
      <c r="A59" s="50" t="s">
        <v>40</v>
      </c>
      <c r="B59" s="51">
        <f t="shared" ref="B59:H59" si="93">+B44</f>
        <v>0</v>
      </c>
      <c r="C59" s="51">
        <f t="shared" si="93"/>
        <v>0</v>
      </c>
      <c r="D59" s="51">
        <f t="shared" si="93"/>
        <v>0</v>
      </c>
      <c r="E59" s="51">
        <f t="shared" si="93"/>
        <v>0</v>
      </c>
      <c r="F59" s="51">
        <f t="shared" si="93"/>
        <v>0</v>
      </c>
      <c r="G59" s="51">
        <f t="shared" si="93"/>
        <v>0</v>
      </c>
      <c r="H59" s="51">
        <f t="shared" si="93"/>
        <v>0</v>
      </c>
      <c r="I59" s="51">
        <f>+I44</f>
        <v>15.788363499540408</v>
      </c>
      <c r="J59" s="51">
        <f t="shared" ref="J59:AE59" si="94">+J44</f>
        <v>15.876122651112929</v>
      </c>
      <c r="K59" s="51">
        <f t="shared" si="94"/>
        <v>15.961779131322926</v>
      </c>
      <c r="L59" s="51">
        <f t="shared" si="94"/>
        <v>16.048292176335021</v>
      </c>
      <c r="M59" s="51">
        <f t="shared" si="94"/>
        <v>16.135670351797238</v>
      </c>
      <c r="N59" s="51">
        <f t="shared" si="94"/>
        <v>16.223922309014075</v>
      </c>
      <c r="O59" s="51">
        <f t="shared" si="94"/>
        <v>16.313056785803084</v>
      </c>
      <c r="P59" s="51">
        <f t="shared" si="94"/>
        <v>16.40308260735998</v>
      </c>
      <c r="Q59" s="51">
        <f t="shared" si="94"/>
        <v>16.49400868713245</v>
      </c>
      <c r="R59" s="51">
        <f t="shared" si="94"/>
        <v>16.585844027702642</v>
      </c>
      <c r="S59" s="51">
        <f t="shared" si="94"/>
        <v>16.678597721678535</v>
      </c>
      <c r="T59" s="51">
        <f t="shared" si="94"/>
        <v>16.772278952594188</v>
      </c>
      <c r="U59" s="51">
        <f t="shared" si="94"/>
        <v>16.866896995818998</v>
      </c>
      <c r="V59" s="51">
        <f t="shared" si="94"/>
        <v>16.962461219476054</v>
      </c>
      <c r="W59" s="51">
        <f t="shared" si="94"/>
        <v>17.058981085369684</v>
      </c>
      <c r="X59" s="51">
        <f t="shared" si="94"/>
        <v>17.156466149922252</v>
      </c>
      <c r="Y59" s="51">
        <f t="shared" si="94"/>
        <v>17.25492606512034</v>
      </c>
      <c r="Z59" s="51">
        <f t="shared" si="94"/>
        <v>17.354370579470412</v>
      </c>
      <c r="AA59" s="51">
        <f t="shared" si="94"/>
        <v>17.454809538963978</v>
      </c>
      <c r="AB59" s="51">
        <f t="shared" si="94"/>
        <v>17.556252888052487</v>
      </c>
      <c r="AC59" s="51">
        <f t="shared" si="94"/>
        <v>17.658710670631876</v>
      </c>
      <c r="AD59" s="51">
        <f t="shared" si="94"/>
        <v>17.762193031037071</v>
      </c>
      <c r="AE59" s="51">
        <f t="shared" si="94"/>
        <v>17.866710215046304</v>
      </c>
    </row>
    <row r="60" spans="1:31" x14ac:dyDescent="0.25">
      <c r="A60" s="46" t="s">
        <v>41</v>
      </c>
      <c r="B60" s="47">
        <f>+B59+B58</f>
        <v>0</v>
      </c>
      <c r="C60" s="47">
        <f t="shared" ref="C60:X60" si="95">+C59+C58</f>
        <v>1.1467245136739499</v>
      </c>
      <c r="D60" s="47">
        <f t="shared" si="95"/>
        <v>1.147703303638862</v>
      </c>
      <c r="E60" s="47">
        <f t="shared" si="95"/>
        <v>0.69565970850585201</v>
      </c>
      <c r="F60" s="47">
        <f t="shared" si="95"/>
        <v>6.8626358632873086E-2</v>
      </c>
      <c r="G60" s="47">
        <f t="shared" si="95"/>
        <v>74.528826833677854</v>
      </c>
      <c r="H60" s="47">
        <f t="shared" si="95"/>
        <v>-39.321956753978533</v>
      </c>
      <c r="I60" s="47">
        <f t="shared" si="95"/>
        <v>72.90686331465416</v>
      </c>
      <c r="J60" s="47">
        <f t="shared" si="95"/>
        <v>112.44218646590235</v>
      </c>
      <c r="K60" s="47">
        <f t="shared" si="95"/>
        <v>87.997331817982513</v>
      </c>
      <c r="L60" s="47">
        <f t="shared" si="95"/>
        <v>89.453748885346158</v>
      </c>
      <c r="M60" s="47">
        <f t="shared" si="95"/>
        <v>106.6984068464902</v>
      </c>
      <c r="N60" s="47">
        <f t="shared" si="95"/>
        <v>193.98966704442529</v>
      </c>
      <c r="O60" s="47">
        <f t="shared" si="95"/>
        <v>194.20420724754194</v>
      </c>
      <c r="P60" s="47">
        <f t="shared" si="95"/>
        <v>228.9937579346456</v>
      </c>
      <c r="Q60" s="47">
        <f t="shared" si="95"/>
        <v>259.65914614499445</v>
      </c>
      <c r="R60" s="47">
        <f t="shared" si="95"/>
        <v>252.9815780054407</v>
      </c>
      <c r="S60" s="47">
        <f t="shared" si="95"/>
        <v>350.18865349696841</v>
      </c>
      <c r="T60" s="47">
        <f t="shared" si="95"/>
        <v>315.67016593001421</v>
      </c>
      <c r="U60" s="47">
        <f t="shared" si="95"/>
        <v>312.90067433591605</v>
      </c>
      <c r="V60" s="47">
        <f t="shared" si="95"/>
        <v>349.35912708186657</v>
      </c>
      <c r="W60" s="47">
        <f t="shared" si="95"/>
        <v>351.09820858611096</v>
      </c>
      <c r="X60" s="47">
        <f t="shared" si="95"/>
        <v>391.95923760996322</v>
      </c>
      <c r="Y60" s="47">
        <f t="shared" ref="Y60:AD60" si="96">+Y59+Y58</f>
        <v>402.63659977863051</v>
      </c>
      <c r="Z60" s="47">
        <f t="shared" si="96"/>
        <v>388.50486153766246</v>
      </c>
      <c r="AA60" s="47">
        <f t="shared" si="96"/>
        <v>378.70874858271827</v>
      </c>
      <c r="AB60" s="47">
        <f t="shared" si="96"/>
        <v>389.27565226456409</v>
      </c>
      <c r="AC60" s="47">
        <f t="shared" si="96"/>
        <v>403.250042649649</v>
      </c>
      <c r="AD60" s="47">
        <f t="shared" si="96"/>
        <v>450.4089363513192</v>
      </c>
      <c r="AE60" s="47">
        <f t="shared" ref="AE60" si="97">+AE59+AE58</f>
        <v>453.88724965138977</v>
      </c>
    </row>
    <row r="61" spans="1:31" x14ac:dyDescent="0.25">
      <c r="A61" s="53" t="s">
        <v>67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181">
        <f>+I46</f>
        <v>134.68414727817313</v>
      </c>
      <c r="J61" s="54">
        <f>+J46</f>
        <v>134.68414727817313</v>
      </c>
      <c r="K61" s="54">
        <f t="shared" ref="K61:X61" si="98">+K46</f>
        <v>134.68414727817313</v>
      </c>
      <c r="L61" s="54">
        <f t="shared" si="98"/>
        <v>134.68414727817313</v>
      </c>
      <c r="M61" s="54">
        <f t="shared" si="98"/>
        <v>134.68414727817313</v>
      </c>
      <c r="N61" s="54">
        <f t="shared" si="98"/>
        <v>134.68414727817313</v>
      </c>
      <c r="O61" s="54">
        <f t="shared" si="98"/>
        <v>134.68414727817313</v>
      </c>
      <c r="P61" s="54">
        <f t="shared" si="98"/>
        <v>134.68414727817313</v>
      </c>
      <c r="Q61" s="54">
        <f t="shared" si="98"/>
        <v>134.68414727817313</v>
      </c>
      <c r="R61" s="54">
        <f t="shared" si="98"/>
        <v>134.68414727817313</v>
      </c>
      <c r="S61" s="54">
        <f t="shared" si="98"/>
        <v>134.68414727817313</v>
      </c>
      <c r="T61" s="54">
        <f t="shared" si="98"/>
        <v>134.68414727817313</v>
      </c>
      <c r="U61" s="54">
        <f t="shared" si="98"/>
        <v>134.68414727817313</v>
      </c>
      <c r="V61" s="54">
        <f t="shared" si="98"/>
        <v>134.68414727817313</v>
      </c>
      <c r="W61" s="54">
        <f t="shared" si="98"/>
        <v>134.68414727817313</v>
      </c>
      <c r="X61" s="54">
        <f t="shared" si="98"/>
        <v>134.68414727817313</v>
      </c>
      <c r="Y61" s="54">
        <f t="shared" ref="Y61:AD61" si="99">+Y46</f>
        <v>134.68414727817313</v>
      </c>
      <c r="Z61" s="54">
        <f t="shared" si="99"/>
        <v>134.68414727817313</v>
      </c>
      <c r="AA61" s="54">
        <f t="shared" si="99"/>
        <v>134.68414727817313</v>
      </c>
      <c r="AB61" s="54">
        <f t="shared" si="99"/>
        <v>134.68414727817313</v>
      </c>
      <c r="AC61" s="54">
        <f t="shared" si="99"/>
        <v>134.68414727817313</v>
      </c>
      <c r="AD61" s="54">
        <f t="shared" si="99"/>
        <v>134.68414727817313</v>
      </c>
      <c r="AE61" s="54">
        <f t="shared" ref="AE61" si="100">+AE46</f>
        <v>134.68414727817313</v>
      </c>
    </row>
    <row r="62" spans="1:31" x14ac:dyDescent="0.25">
      <c r="A62" t="s">
        <v>68</v>
      </c>
      <c r="B62" s="43">
        <f>XNPV(NotSlowWACC,B60:AE60,$B$10:$AE$10)</f>
        <v>2597.1804754087057</v>
      </c>
      <c r="C62" s="134"/>
      <c r="D62" s="135"/>
      <c r="E62" s="136"/>
      <c r="F62" s="137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</row>
    <row r="63" spans="1:31" x14ac:dyDescent="0.25">
      <c r="A63" t="s">
        <v>69</v>
      </c>
      <c r="B63" s="43">
        <f>+XNPV(NotSlowWACC,B61:AE61,$B$10:$AE$10)</f>
        <v>1396.8204654430087</v>
      </c>
      <c r="C63" s="134"/>
      <c r="D63" s="135"/>
      <c r="E63" s="136"/>
      <c r="F63" s="137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</row>
    <row r="64" spans="1:31" ht="15.75" thickBot="1" x14ac:dyDescent="0.3">
      <c r="A64" s="1" t="s">
        <v>119</v>
      </c>
      <c r="B64" s="68">
        <f>+B62-B63</f>
        <v>1200.3600099656969</v>
      </c>
      <c r="C64" s="134"/>
      <c r="D64" s="135"/>
      <c r="E64" s="136"/>
      <c r="F64" s="137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</row>
    <row r="65" spans="1:31" ht="16.5" thickTop="1" thickBot="1" x14ac:dyDescent="0.3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</row>
    <row r="66" spans="1:31" ht="15.75" thickTop="1" x14ac:dyDescent="0.25">
      <c r="A66" s="71" t="str">
        <f>+A2</f>
        <v xml:space="preserve">Option 1:  600 MW in 2027 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</row>
    <row r="67" spans="1:31" x14ac:dyDescent="0.25">
      <c r="A67" s="73" t="s">
        <v>72</v>
      </c>
      <c r="B67" s="74" t="str">
        <f>+Overview!D10</f>
        <v>Step Change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</row>
    <row r="68" spans="1:31" x14ac:dyDescent="0.25">
      <c r="A68" s="2" t="s">
        <v>34</v>
      </c>
      <c r="B68" s="1">
        <v>0</v>
      </c>
      <c r="C68" s="1">
        <f>+B68+1</f>
        <v>1</v>
      </c>
      <c r="D68" s="1">
        <f t="shared" ref="D68" si="101">+C68+1</f>
        <v>2</v>
      </c>
      <c r="E68" s="1">
        <f t="shared" ref="E68" si="102">+D68+1</f>
        <v>3</v>
      </c>
      <c r="F68" s="1">
        <f t="shared" ref="F68" si="103">+E68+1</f>
        <v>4</v>
      </c>
      <c r="G68" s="1">
        <f t="shared" ref="G68" si="104">+F68+1</f>
        <v>5</v>
      </c>
      <c r="H68" s="8">
        <f t="shared" ref="H68" si="105">+G68+1</f>
        <v>6</v>
      </c>
      <c r="I68" s="1">
        <f t="shared" ref="I68" si="106">+H68+1</f>
        <v>7</v>
      </c>
      <c r="J68" s="1">
        <f t="shared" ref="J68" si="107">+I68+1</f>
        <v>8</v>
      </c>
      <c r="K68" s="1">
        <f t="shared" ref="K68" si="108">+J68+1</f>
        <v>9</v>
      </c>
      <c r="L68" s="1">
        <f t="shared" ref="L68" si="109">+K68+1</f>
        <v>10</v>
      </c>
      <c r="M68" s="1">
        <f t="shared" ref="M68" si="110">+L68+1</f>
        <v>11</v>
      </c>
      <c r="N68" s="1">
        <f t="shared" ref="N68" si="111">+M68+1</f>
        <v>12</v>
      </c>
      <c r="O68" s="1">
        <f t="shared" ref="O68" si="112">+N68+1</f>
        <v>13</v>
      </c>
      <c r="P68" s="1">
        <f t="shared" ref="P68" si="113">+O68+1</f>
        <v>14</v>
      </c>
      <c r="Q68" s="1">
        <f t="shared" ref="Q68" si="114">+P68+1</f>
        <v>15</v>
      </c>
      <c r="R68" s="1">
        <f t="shared" ref="R68" si="115">+Q68+1</f>
        <v>16</v>
      </c>
      <c r="S68" s="1">
        <f t="shared" ref="S68" si="116">+R68+1</f>
        <v>17</v>
      </c>
      <c r="T68" s="1">
        <f t="shared" ref="T68" si="117">+S68+1</f>
        <v>18</v>
      </c>
      <c r="U68" s="1">
        <f t="shared" ref="U68" si="118">+T68+1</f>
        <v>19</v>
      </c>
      <c r="V68" s="1">
        <f t="shared" ref="V68" si="119">+U68+1</f>
        <v>20</v>
      </c>
      <c r="W68" s="1">
        <f t="shared" ref="W68" si="120">+V68+1</f>
        <v>21</v>
      </c>
      <c r="X68" s="1">
        <f t="shared" ref="X68" si="121">+W68+1</f>
        <v>22</v>
      </c>
      <c r="Y68" s="1">
        <f t="shared" ref="Y68" si="122">+X68+1</f>
        <v>23</v>
      </c>
      <c r="Z68" s="1">
        <f t="shared" ref="Z68" si="123">+Y68+1</f>
        <v>24</v>
      </c>
      <c r="AA68" s="1">
        <f t="shared" ref="AA68" si="124">+Z68+1</f>
        <v>25</v>
      </c>
      <c r="AB68" s="1">
        <f t="shared" ref="AB68" si="125">+AA68+1</f>
        <v>26</v>
      </c>
      <c r="AC68" s="1">
        <f t="shared" ref="AC68" si="126">+AB68+1</f>
        <v>27</v>
      </c>
      <c r="AD68" s="1">
        <f t="shared" ref="AD68:AE68" si="127">+AC68+1</f>
        <v>28</v>
      </c>
      <c r="AE68" s="1">
        <f t="shared" si="127"/>
        <v>29</v>
      </c>
    </row>
    <row r="69" spans="1:31" x14ac:dyDescent="0.25">
      <c r="A69" t="s">
        <v>35</v>
      </c>
      <c r="B69" s="4">
        <v>1</v>
      </c>
      <c r="C69" s="4">
        <f t="shared" ref="C69:AE69" si="128">1/((1+NotSlowWACC)^((C70-$B$10)/365))</f>
        <v>0.95419847328244267</v>
      </c>
      <c r="D69" s="4">
        <f t="shared" si="128"/>
        <v>0.91049472641454443</v>
      </c>
      <c r="E69" s="4">
        <f t="shared" si="128"/>
        <v>0.86879267787647374</v>
      </c>
      <c r="F69" s="4">
        <f t="shared" si="128"/>
        <v>0.82889417004246191</v>
      </c>
      <c r="G69" s="4">
        <f t="shared" si="128"/>
        <v>0.79092955156723455</v>
      </c>
      <c r="H69" s="4">
        <f t="shared" si="128"/>
        <v>0.75470377057942228</v>
      </c>
      <c r="I69" s="4">
        <f t="shared" si="128"/>
        <v>0.7201371856673876</v>
      </c>
      <c r="J69" s="4">
        <f t="shared" si="128"/>
        <v>0.68706554513038165</v>
      </c>
      <c r="K69" s="4">
        <f t="shared" si="128"/>
        <v>0.65559689420837941</v>
      </c>
      <c r="L69" s="4">
        <f t="shared" si="128"/>
        <v>0.62556955554234672</v>
      </c>
      <c r="M69" s="4">
        <f t="shared" si="128"/>
        <v>0.5969175148304835</v>
      </c>
      <c r="N69" s="4">
        <f t="shared" si="128"/>
        <v>0.56950462479561925</v>
      </c>
      <c r="O69" s="4">
        <f t="shared" si="128"/>
        <v>0.54342044350727026</v>
      </c>
      <c r="P69" s="4">
        <f t="shared" si="128"/>
        <v>0.51853095754510525</v>
      </c>
      <c r="Q69" s="4">
        <f t="shared" si="128"/>
        <v>0.49478144803922253</v>
      </c>
      <c r="R69" s="4">
        <f t="shared" si="128"/>
        <v>0.47205906330530845</v>
      </c>
      <c r="S69" s="4">
        <f t="shared" si="128"/>
        <v>0.45043803750506534</v>
      </c>
      <c r="T69" s="4">
        <f t="shared" si="128"/>
        <v>0.429807287695673</v>
      </c>
      <c r="U69" s="4">
        <f t="shared" si="128"/>
        <v>0.41012145772487879</v>
      </c>
      <c r="V69" s="4">
        <f t="shared" si="128"/>
        <v>0.39128700548947559</v>
      </c>
      <c r="W69" s="4">
        <f t="shared" si="128"/>
        <v>0.37336546325331643</v>
      </c>
      <c r="X69" s="4">
        <f t="shared" si="128"/>
        <v>0.35626475501270649</v>
      </c>
      <c r="Y69" s="4">
        <f t="shared" si="128"/>
        <v>0.33994728531746798</v>
      </c>
      <c r="Z69" s="4">
        <f t="shared" si="128"/>
        <v>0.32433551766359908</v>
      </c>
      <c r="AA69" s="4">
        <f t="shared" si="128"/>
        <v>0.30948045578587696</v>
      </c>
      <c r="AB69" s="4">
        <f t="shared" si="128"/>
        <v>0.29530577842163835</v>
      </c>
      <c r="AC69" s="4">
        <f t="shared" si="128"/>
        <v>0.28178032292141064</v>
      </c>
      <c r="AD69" s="4">
        <f t="shared" si="128"/>
        <v>0.26883981972906118</v>
      </c>
      <c r="AE69" s="4">
        <f t="shared" si="128"/>
        <v>0.25652654554299731</v>
      </c>
    </row>
    <row r="70" spans="1:31" x14ac:dyDescent="0.25">
      <c r="A70" s="5" t="s">
        <v>70</v>
      </c>
      <c r="B70" s="6">
        <f>+B55</f>
        <v>44013</v>
      </c>
      <c r="C70" s="6">
        <f t="shared" ref="C70:AE70" si="129">+C55</f>
        <v>44378</v>
      </c>
      <c r="D70" s="6">
        <f t="shared" si="129"/>
        <v>44743</v>
      </c>
      <c r="E70" s="6">
        <f t="shared" si="129"/>
        <v>45108</v>
      </c>
      <c r="F70" s="6">
        <f t="shared" si="129"/>
        <v>45474</v>
      </c>
      <c r="G70" s="6">
        <f t="shared" si="129"/>
        <v>45839</v>
      </c>
      <c r="H70" s="6">
        <f t="shared" si="129"/>
        <v>46204</v>
      </c>
      <c r="I70" s="6">
        <f t="shared" si="129"/>
        <v>46569</v>
      </c>
      <c r="J70" s="6">
        <f t="shared" si="129"/>
        <v>46935</v>
      </c>
      <c r="K70" s="6">
        <f t="shared" si="129"/>
        <v>47300</v>
      </c>
      <c r="L70" s="6">
        <f t="shared" si="129"/>
        <v>47665</v>
      </c>
      <c r="M70" s="6">
        <f t="shared" si="129"/>
        <v>48030</v>
      </c>
      <c r="N70" s="6">
        <f t="shared" si="129"/>
        <v>48396</v>
      </c>
      <c r="O70" s="6">
        <f t="shared" si="129"/>
        <v>48761</v>
      </c>
      <c r="P70" s="6">
        <f t="shared" si="129"/>
        <v>49126</v>
      </c>
      <c r="Q70" s="6">
        <f t="shared" si="129"/>
        <v>49491</v>
      </c>
      <c r="R70" s="6">
        <f t="shared" si="129"/>
        <v>49857</v>
      </c>
      <c r="S70" s="6">
        <f t="shared" si="129"/>
        <v>50222</v>
      </c>
      <c r="T70" s="6">
        <f t="shared" si="129"/>
        <v>50587</v>
      </c>
      <c r="U70" s="6">
        <f t="shared" si="129"/>
        <v>50952</v>
      </c>
      <c r="V70" s="6">
        <f t="shared" si="129"/>
        <v>51318</v>
      </c>
      <c r="W70" s="6">
        <f t="shared" si="129"/>
        <v>51683</v>
      </c>
      <c r="X70" s="6">
        <f t="shared" si="129"/>
        <v>52048</v>
      </c>
      <c r="Y70" s="6">
        <f t="shared" si="129"/>
        <v>52413</v>
      </c>
      <c r="Z70" s="6">
        <f t="shared" si="129"/>
        <v>52779</v>
      </c>
      <c r="AA70" s="6">
        <f t="shared" si="129"/>
        <v>53144</v>
      </c>
      <c r="AB70" s="6">
        <f t="shared" si="129"/>
        <v>53509</v>
      </c>
      <c r="AC70" s="6">
        <f t="shared" si="129"/>
        <v>53874</v>
      </c>
      <c r="AD70" s="6">
        <f t="shared" si="129"/>
        <v>54240</v>
      </c>
      <c r="AE70" s="6">
        <f t="shared" si="129"/>
        <v>54605</v>
      </c>
    </row>
    <row r="71" spans="1:31" x14ac:dyDescent="0.25">
      <c r="A71" s="44" t="s">
        <v>39</v>
      </c>
      <c r="B71" s="45" t="str">
        <f>+B56</f>
        <v>2020-21</v>
      </c>
      <c r="C71" s="45" t="str">
        <f t="shared" ref="C71:AE71" si="130">+C56</f>
        <v>2021-22</v>
      </c>
      <c r="D71" s="45" t="str">
        <f t="shared" si="130"/>
        <v>2022-23</v>
      </c>
      <c r="E71" s="45" t="str">
        <f t="shared" si="130"/>
        <v>2023-24</v>
      </c>
      <c r="F71" s="45" t="str">
        <f t="shared" si="130"/>
        <v>2024-25</v>
      </c>
      <c r="G71" s="45" t="str">
        <f t="shared" si="130"/>
        <v>2025-26</v>
      </c>
      <c r="H71" s="45" t="str">
        <f t="shared" si="130"/>
        <v>2026-27</v>
      </c>
      <c r="I71" s="45" t="str">
        <f t="shared" si="130"/>
        <v>2027-28</v>
      </c>
      <c r="J71" s="45" t="str">
        <f t="shared" si="130"/>
        <v>2028-29</v>
      </c>
      <c r="K71" s="45" t="str">
        <f t="shared" si="130"/>
        <v>2029-30</v>
      </c>
      <c r="L71" s="45" t="str">
        <f t="shared" si="130"/>
        <v>2030-31</v>
      </c>
      <c r="M71" s="45" t="str">
        <f t="shared" si="130"/>
        <v>2031-32</v>
      </c>
      <c r="N71" s="45" t="str">
        <f t="shared" si="130"/>
        <v>2032-33</v>
      </c>
      <c r="O71" s="45" t="str">
        <f t="shared" si="130"/>
        <v>2033-34</v>
      </c>
      <c r="P71" s="45" t="str">
        <f t="shared" si="130"/>
        <v>2034-35</v>
      </c>
      <c r="Q71" s="45" t="str">
        <f t="shared" si="130"/>
        <v>2035-36</v>
      </c>
      <c r="R71" s="45" t="str">
        <f t="shared" si="130"/>
        <v>2036-37</v>
      </c>
      <c r="S71" s="45" t="str">
        <f t="shared" si="130"/>
        <v>2037-38</v>
      </c>
      <c r="T71" s="45" t="str">
        <f t="shared" si="130"/>
        <v>2038-39</v>
      </c>
      <c r="U71" s="45" t="str">
        <f t="shared" si="130"/>
        <v>2039-40</v>
      </c>
      <c r="V71" s="45" t="str">
        <f t="shared" si="130"/>
        <v>2040-41</v>
      </c>
      <c r="W71" s="45" t="str">
        <f t="shared" si="130"/>
        <v>2041-42</v>
      </c>
      <c r="X71" s="45" t="str">
        <f t="shared" si="130"/>
        <v>2042-43</v>
      </c>
      <c r="Y71" s="45" t="str">
        <f t="shared" si="130"/>
        <v>2043-44</v>
      </c>
      <c r="Z71" s="45" t="str">
        <f t="shared" si="130"/>
        <v>2044-45</v>
      </c>
      <c r="AA71" s="45" t="str">
        <f t="shared" si="130"/>
        <v>2045-46</v>
      </c>
      <c r="AB71" s="45" t="str">
        <f t="shared" si="130"/>
        <v>2046-47</v>
      </c>
      <c r="AC71" s="45" t="str">
        <f t="shared" si="130"/>
        <v>2047-48</v>
      </c>
      <c r="AD71" s="45" t="str">
        <f t="shared" si="130"/>
        <v>2048-49</v>
      </c>
      <c r="AE71" s="45" t="str">
        <f t="shared" si="130"/>
        <v>2049-50</v>
      </c>
    </row>
    <row r="72" spans="1:31" x14ac:dyDescent="0.25">
      <c r="A72" s="52" t="str">
        <f>+A57</f>
        <v>Market benefits (PV at 2020)</v>
      </c>
      <c r="B72" s="77">
        <v>0</v>
      </c>
      <c r="C72" s="77">
        <v>13.491921323589981</v>
      </c>
      <c r="D72" s="77">
        <v>14.050968779129409</v>
      </c>
      <c r="E72" s="77">
        <v>24.516963971638511</v>
      </c>
      <c r="F72" s="77">
        <v>25.837174982644697</v>
      </c>
      <c r="G72" s="77">
        <v>36.386989092173735</v>
      </c>
      <c r="H72" s="77">
        <v>-0.85933724170462578</v>
      </c>
      <c r="I72" s="77">
        <v>92.548505217326465</v>
      </c>
      <c r="J72" s="77">
        <v>90.73000834761757</v>
      </c>
      <c r="K72" s="77">
        <v>73.666186972348498</v>
      </c>
      <c r="L72" s="77">
        <v>90.172727806238726</v>
      </c>
      <c r="M72" s="77">
        <v>122.67808595244007</v>
      </c>
      <c r="N72" s="77">
        <v>124.45050587200124</v>
      </c>
      <c r="O72" s="77">
        <v>148.16845054723498</v>
      </c>
      <c r="P72" s="77">
        <v>174.73378182425833</v>
      </c>
      <c r="Q72" s="77">
        <v>176.31435712386784</v>
      </c>
      <c r="R72" s="77">
        <v>174.9070104059908</v>
      </c>
      <c r="S72" s="77">
        <v>178.05312699088509</v>
      </c>
      <c r="T72" s="77">
        <v>176.42390968462161</v>
      </c>
      <c r="U72" s="77">
        <v>168.7976253605955</v>
      </c>
      <c r="V72" s="77">
        <v>176.37541784533641</v>
      </c>
      <c r="W72" s="77">
        <v>155.92760946900981</v>
      </c>
      <c r="X72" s="77">
        <v>200.96174450577655</v>
      </c>
      <c r="Y72" s="77">
        <v>201.23561445935874</v>
      </c>
      <c r="Z72" s="77">
        <v>183.19966601874967</v>
      </c>
      <c r="AA72" s="77">
        <v>167.20598194072855</v>
      </c>
      <c r="AB72" s="77">
        <v>176.52752819232686</v>
      </c>
      <c r="AC72" s="77">
        <v>147.04661258907225</v>
      </c>
      <c r="AD72" s="77">
        <v>126.82026554774041</v>
      </c>
      <c r="AE72" s="77">
        <v>116.20951210824148</v>
      </c>
    </row>
    <row r="73" spans="1:31" x14ac:dyDescent="0.25">
      <c r="A73" s="48" t="s">
        <v>42</v>
      </c>
      <c r="B73" s="49">
        <f t="shared" ref="B73:X73" si="131">+B72/B69</f>
        <v>0</v>
      </c>
      <c r="C73" s="49">
        <f t="shared" si="131"/>
        <v>14.139533547122301</v>
      </c>
      <c r="D73" s="49">
        <f t="shared" si="131"/>
        <v>15.43223521399295</v>
      </c>
      <c r="E73" s="49">
        <f t="shared" si="131"/>
        <v>28.219579418605978</v>
      </c>
      <c r="F73" s="49">
        <f t="shared" si="131"/>
        <v>31.170655937079559</v>
      </c>
      <c r="G73" s="49">
        <f t="shared" si="131"/>
        <v>46.005347783595347</v>
      </c>
      <c r="H73" s="49">
        <f t="shared" si="131"/>
        <v>-1.1386417760240835</v>
      </c>
      <c r="I73" s="49">
        <f t="shared" si="131"/>
        <v>128.51510387087853</v>
      </c>
      <c r="J73" s="49">
        <f t="shared" si="131"/>
        <v>132.05437092672156</v>
      </c>
      <c r="K73" s="49">
        <f t="shared" si="131"/>
        <v>112.36506399454348</v>
      </c>
      <c r="L73" s="49">
        <f t="shared" si="131"/>
        <v>144.14500674998826</v>
      </c>
      <c r="M73" s="49">
        <f t="shared" si="131"/>
        <v>205.51932705020221</v>
      </c>
      <c r="N73" s="49">
        <f t="shared" si="131"/>
        <v>218.52413563219679</v>
      </c>
      <c r="O73" s="49">
        <f t="shared" si="131"/>
        <v>272.65895554268502</v>
      </c>
      <c r="P73" s="49">
        <f t="shared" si="131"/>
        <v>336.97849526960755</v>
      </c>
      <c r="Q73" s="49">
        <f t="shared" si="131"/>
        <v>356.34795488510508</v>
      </c>
      <c r="R73" s="49">
        <f t="shared" si="131"/>
        <v>370.51933540118921</v>
      </c>
      <c r="S73" s="49">
        <f t="shared" si="131"/>
        <v>395.28883479091797</v>
      </c>
      <c r="T73" s="49">
        <f t="shared" si="131"/>
        <v>410.47212258890164</v>
      </c>
      <c r="U73" s="49">
        <f t="shared" si="131"/>
        <v>411.57959960687981</v>
      </c>
      <c r="V73" s="49">
        <f t="shared" si="131"/>
        <v>450.75715618182051</v>
      </c>
      <c r="W73" s="49">
        <f t="shared" si="131"/>
        <v>417.6272976893365</v>
      </c>
      <c r="X73" s="49">
        <f t="shared" si="131"/>
        <v>564.07977965322186</v>
      </c>
      <c r="Y73" s="49">
        <f t="shared" ref="Y73:AD73" si="132">+Y72/Y69</f>
        <v>591.96123384668306</v>
      </c>
      <c r="Z73" s="49">
        <f t="shared" si="132"/>
        <v>564.84614247140337</v>
      </c>
      <c r="AA73" s="49">
        <f t="shared" si="132"/>
        <v>540.27961641757065</v>
      </c>
      <c r="AB73" s="49">
        <f t="shared" si="132"/>
        <v>597.77878081437473</v>
      </c>
      <c r="AC73" s="49">
        <f t="shared" si="132"/>
        <v>521.8484068175477</v>
      </c>
      <c r="AD73" s="49">
        <f t="shared" si="132"/>
        <v>471.731701336323</v>
      </c>
      <c r="AE73" s="49">
        <f t="shared" ref="AE73" si="133">+AE72/AE69</f>
        <v>453.01164393048441</v>
      </c>
    </row>
    <row r="74" spans="1:31" x14ac:dyDescent="0.25">
      <c r="A74" s="50" t="s">
        <v>40</v>
      </c>
      <c r="B74" s="51">
        <f t="shared" ref="B74:H74" si="134">+B59</f>
        <v>0</v>
      </c>
      <c r="C74" s="51">
        <f t="shared" si="134"/>
        <v>0</v>
      </c>
      <c r="D74" s="51">
        <f t="shared" si="134"/>
        <v>0</v>
      </c>
      <c r="E74" s="51">
        <f t="shared" si="134"/>
        <v>0</v>
      </c>
      <c r="F74" s="51">
        <f t="shared" si="134"/>
        <v>0</v>
      </c>
      <c r="G74" s="51">
        <f t="shared" si="134"/>
        <v>0</v>
      </c>
      <c r="H74" s="51">
        <f t="shared" si="134"/>
        <v>0</v>
      </c>
      <c r="I74" s="51">
        <f>+I59</f>
        <v>15.788363499540408</v>
      </c>
      <c r="J74" s="51">
        <f t="shared" ref="J74:AE74" si="135">+J59</f>
        <v>15.876122651112929</v>
      </c>
      <c r="K74" s="51">
        <f t="shared" si="135"/>
        <v>15.961779131322926</v>
      </c>
      <c r="L74" s="51">
        <f t="shared" si="135"/>
        <v>16.048292176335021</v>
      </c>
      <c r="M74" s="51">
        <f t="shared" si="135"/>
        <v>16.135670351797238</v>
      </c>
      <c r="N74" s="51">
        <f t="shared" si="135"/>
        <v>16.223922309014075</v>
      </c>
      <c r="O74" s="51">
        <f t="shared" si="135"/>
        <v>16.313056785803084</v>
      </c>
      <c r="P74" s="51">
        <f t="shared" si="135"/>
        <v>16.40308260735998</v>
      </c>
      <c r="Q74" s="51">
        <f t="shared" si="135"/>
        <v>16.49400868713245</v>
      </c>
      <c r="R74" s="51">
        <f t="shared" si="135"/>
        <v>16.585844027702642</v>
      </c>
      <c r="S74" s="51">
        <f t="shared" si="135"/>
        <v>16.678597721678535</v>
      </c>
      <c r="T74" s="51">
        <f t="shared" si="135"/>
        <v>16.772278952594188</v>
      </c>
      <c r="U74" s="51">
        <f t="shared" si="135"/>
        <v>16.866896995818998</v>
      </c>
      <c r="V74" s="51">
        <f t="shared" si="135"/>
        <v>16.962461219476054</v>
      </c>
      <c r="W74" s="51">
        <f t="shared" si="135"/>
        <v>17.058981085369684</v>
      </c>
      <c r="X74" s="51">
        <f t="shared" si="135"/>
        <v>17.156466149922252</v>
      </c>
      <c r="Y74" s="51">
        <f t="shared" si="135"/>
        <v>17.25492606512034</v>
      </c>
      <c r="Z74" s="51">
        <f t="shared" si="135"/>
        <v>17.354370579470412</v>
      </c>
      <c r="AA74" s="51">
        <f t="shared" si="135"/>
        <v>17.454809538963978</v>
      </c>
      <c r="AB74" s="51">
        <f t="shared" si="135"/>
        <v>17.556252888052487</v>
      </c>
      <c r="AC74" s="51">
        <f t="shared" si="135"/>
        <v>17.658710670631876</v>
      </c>
      <c r="AD74" s="51">
        <f t="shared" si="135"/>
        <v>17.762193031037071</v>
      </c>
      <c r="AE74" s="51">
        <f t="shared" si="135"/>
        <v>17.866710215046304</v>
      </c>
    </row>
    <row r="75" spans="1:31" x14ac:dyDescent="0.25">
      <c r="A75" s="46" t="s">
        <v>41</v>
      </c>
      <c r="B75" s="47">
        <f>+B74+B73</f>
        <v>0</v>
      </c>
      <c r="C75" s="47">
        <f t="shared" ref="C75:X75" si="136">+C74+C73</f>
        <v>14.139533547122301</v>
      </c>
      <c r="D75" s="47">
        <f t="shared" si="136"/>
        <v>15.43223521399295</v>
      </c>
      <c r="E75" s="47">
        <f t="shared" si="136"/>
        <v>28.219579418605978</v>
      </c>
      <c r="F75" s="47">
        <f t="shared" si="136"/>
        <v>31.170655937079559</v>
      </c>
      <c r="G75" s="47">
        <f t="shared" si="136"/>
        <v>46.005347783595347</v>
      </c>
      <c r="H75" s="47">
        <f t="shared" si="136"/>
        <v>-1.1386417760240835</v>
      </c>
      <c r="I75" s="47">
        <f t="shared" si="136"/>
        <v>144.30346737041893</v>
      </c>
      <c r="J75" s="47">
        <f t="shared" si="136"/>
        <v>147.93049357783448</v>
      </c>
      <c r="K75" s="47">
        <f t="shared" si="136"/>
        <v>128.32684312586639</v>
      </c>
      <c r="L75" s="47">
        <f t="shared" si="136"/>
        <v>160.19329892632328</v>
      </c>
      <c r="M75" s="47">
        <f t="shared" si="136"/>
        <v>221.65499740199945</v>
      </c>
      <c r="N75" s="47">
        <f t="shared" si="136"/>
        <v>234.74805794121087</v>
      </c>
      <c r="O75" s="47">
        <f t="shared" si="136"/>
        <v>288.97201232848812</v>
      </c>
      <c r="P75" s="47">
        <f t="shared" si="136"/>
        <v>353.38157787696753</v>
      </c>
      <c r="Q75" s="47">
        <f t="shared" si="136"/>
        <v>372.84196357223755</v>
      </c>
      <c r="R75" s="47">
        <f t="shared" si="136"/>
        <v>387.10517942889186</v>
      </c>
      <c r="S75" s="47">
        <f t="shared" si="136"/>
        <v>411.96743251259653</v>
      </c>
      <c r="T75" s="47">
        <f t="shared" si="136"/>
        <v>427.24440154149585</v>
      </c>
      <c r="U75" s="47">
        <f t="shared" si="136"/>
        <v>428.4464966026988</v>
      </c>
      <c r="V75" s="47">
        <f t="shared" si="136"/>
        <v>467.71961740129655</v>
      </c>
      <c r="W75" s="47">
        <f t="shared" si="136"/>
        <v>434.68627877470618</v>
      </c>
      <c r="X75" s="47">
        <f t="shared" si="136"/>
        <v>581.23624580314413</v>
      </c>
      <c r="Y75" s="47">
        <f t="shared" ref="Y75:AD75" si="137">+Y74+Y73</f>
        <v>609.2161599118034</v>
      </c>
      <c r="Z75" s="47">
        <f t="shared" si="137"/>
        <v>582.20051305087372</v>
      </c>
      <c r="AA75" s="47">
        <f t="shared" si="137"/>
        <v>557.73442595653466</v>
      </c>
      <c r="AB75" s="47">
        <f t="shared" si="137"/>
        <v>615.33503370242727</v>
      </c>
      <c r="AC75" s="47">
        <f t="shared" si="137"/>
        <v>539.50711748817957</v>
      </c>
      <c r="AD75" s="47">
        <f t="shared" si="137"/>
        <v>489.4938943673601</v>
      </c>
      <c r="AE75" s="47">
        <f t="shared" ref="AE75" si="138">+AE74+AE73</f>
        <v>470.87835414553069</v>
      </c>
    </row>
    <row r="76" spans="1:31" x14ac:dyDescent="0.25">
      <c r="A76" s="53" t="s">
        <v>67</v>
      </c>
      <c r="B76" s="54">
        <v>0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181">
        <f>+I61</f>
        <v>134.68414727817313</v>
      </c>
      <c r="J76" s="54">
        <f>+J61</f>
        <v>134.68414727817313</v>
      </c>
      <c r="K76" s="54">
        <f t="shared" ref="K76:X76" si="139">+K61</f>
        <v>134.68414727817313</v>
      </c>
      <c r="L76" s="54">
        <f t="shared" si="139"/>
        <v>134.68414727817313</v>
      </c>
      <c r="M76" s="54">
        <f t="shared" si="139"/>
        <v>134.68414727817313</v>
      </c>
      <c r="N76" s="54">
        <f t="shared" si="139"/>
        <v>134.68414727817313</v>
      </c>
      <c r="O76" s="54">
        <f t="shared" si="139"/>
        <v>134.68414727817313</v>
      </c>
      <c r="P76" s="54">
        <f t="shared" si="139"/>
        <v>134.68414727817313</v>
      </c>
      <c r="Q76" s="54">
        <f t="shared" si="139"/>
        <v>134.68414727817313</v>
      </c>
      <c r="R76" s="54">
        <f t="shared" si="139"/>
        <v>134.68414727817313</v>
      </c>
      <c r="S76" s="54">
        <f t="shared" si="139"/>
        <v>134.68414727817313</v>
      </c>
      <c r="T76" s="54">
        <f t="shared" si="139"/>
        <v>134.68414727817313</v>
      </c>
      <c r="U76" s="54">
        <f t="shared" si="139"/>
        <v>134.68414727817313</v>
      </c>
      <c r="V76" s="54">
        <f t="shared" si="139"/>
        <v>134.68414727817313</v>
      </c>
      <c r="W76" s="54">
        <f t="shared" si="139"/>
        <v>134.68414727817313</v>
      </c>
      <c r="X76" s="54">
        <f t="shared" si="139"/>
        <v>134.68414727817313</v>
      </c>
      <c r="Y76" s="54">
        <f t="shared" ref="Y76:AD76" si="140">+Y61</f>
        <v>134.68414727817313</v>
      </c>
      <c r="Z76" s="54">
        <f t="shared" si="140"/>
        <v>134.68414727817313</v>
      </c>
      <c r="AA76" s="54">
        <f t="shared" si="140"/>
        <v>134.68414727817313</v>
      </c>
      <c r="AB76" s="54">
        <f t="shared" si="140"/>
        <v>134.68414727817313</v>
      </c>
      <c r="AC76" s="54">
        <f t="shared" si="140"/>
        <v>134.68414727817313</v>
      </c>
      <c r="AD76" s="54">
        <f t="shared" si="140"/>
        <v>134.68414727817313</v>
      </c>
      <c r="AE76" s="54">
        <f t="shared" ref="AE76" si="141">+AE61</f>
        <v>134.68414727817313</v>
      </c>
    </row>
    <row r="77" spans="1:31" x14ac:dyDescent="0.25">
      <c r="A77" t="s">
        <v>68</v>
      </c>
      <c r="B77" s="43">
        <f>XNPV(NotSlowWACC,B75:AE75,$B$10:$AE$10)</f>
        <v>3728.765306227082</v>
      </c>
      <c r="C77" s="134"/>
      <c r="D77" s="135"/>
      <c r="E77" s="136"/>
      <c r="F77" s="137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</row>
    <row r="78" spans="1:31" x14ac:dyDescent="0.25">
      <c r="A78" t="s">
        <v>69</v>
      </c>
      <c r="B78" s="43">
        <f>+XNPV(NotSlowWACC,B76:AE76,$B$10:$AE$10)</f>
        <v>1396.8204654430087</v>
      </c>
      <c r="C78" s="134"/>
      <c r="D78" s="135"/>
      <c r="E78" s="136"/>
      <c r="F78" s="137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</row>
    <row r="79" spans="1:31" ht="15.75" thickBot="1" x14ac:dyDescent="0.3">
      <c r="A79" s="1" t="s">
        <v>119</v>
      </c>
      <c r="B79" s="68">
        <f>+B77-B78</f>
        <v>2331.9448407840732</v>
      </c>
      <c r="C79" s="134"/>
      <c r="D79" s="135"/>
      <c r="E79" s="136"/>
      <c r="F79" s="137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</row>
    <row r="80" spans="1:31" ht="15.75" thickTop="1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</row>
    <row r="81" spans="1:31" ht="15.75" thickBot="1" x14ac:dyDescent="0.3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</row>
    <row r="82" spans="1:31" ht="21" x14ac:dyDescent="0.35">
      <c r="A82" s="187" t="s">
        <v>132</v>
      </c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</row>
    <row r="83" spans="1:31" ht="19.5" thickBot="1" x14ac:dyDescent="0.35">
      <c r="A83" s="214" t="s">
        <v>153</v>
      </c>
      <c r="B83" s="21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</row>
    <row r="84" spans="1:31" ht="15.75" thickTop="1" x14ac:dyDescent="0.25">
      <c r="A84" s="71" t="str">
        <f>A6</f>
        <v xml:space="preserve">Option 1:  600 MW in 2027 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</row>
    <row r="85" spans="1:31" x14ac:dyDescent="0.25">
      <c r="A85" s="210" t="str">
        <f>A7</f>
        <v xml:space="preserve">Scenario: </v>
      </c>
      <c r="B85" s="211" t="s">
        <v>100</v>
      </c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3"/>
    </row>
    <row r="86" spans="1:31" x14ac:dyDescent="0.25">
      <c r="B86" s="159">
        <v>1</v>
      </c>
      <c r="C86" s="159">
        <v>1</v>
      </c>
      <c r="D86" s="159">
        <v>1</v>
      </c>
      <c r="E86" s="159">
        <v>1</v>
      </c>
      <c r="F86" s="159">
        <v>1</v>
      </c>
      <c r="G86" s="159">
        <v>1</v>
      </c>
      <c r="H86" s="159">
        <v>1</v>
      </c>
      <c r="I86" s="159">
        <v>1</v>
      </c>
      <c r="J86" s="159">
        <v>1</v>
      </c>
      <c r="K86" s="159">
        <v>1</v>
      </c>
      <c r="L86" s="159">
        <v>1</v>
      </c>
      <c r="M86" s="159">
        <v>1</v>
      </c>
      <c r="N86" s="159">
        <v>1</v>
      </c>
      <c r="O86" s="159">
        <v>1</v>
      </c>
      <c r="P86" s="159">
        <v>1</v>
      </c>
      <c r="Q86" s="159">
        <v>1</v>
      </c>
      <c r="R86" s="159">
        <v>1</v>
      </c>
      <c r="S86" s="159">
        <v>1</v>
      </c>
      <c r="T86" s="159">
        <v>1</v>
      </c>
      <c r="U86" s="159">
        <v>1</v>
      </c>
      <c r="V86" s="159">
        <v>1</v>
      </c>
      <c r="W86" s="159">
        <v>1</v>
      </c>
      <c r="X86" s="159">
        <v>1</v>
      </c>
      <c r="Y86" s="159">
        <v>1</v>
      </c>
      <c r="Z86" s="159">
        <v>1</v>
      </c>
      <c r="AA86" s="159">
        <v>1</v>
      </c>
      <c r="AB86" s="159">
        <v>1</v>
      </c>
      <c r="AC86" s="159">
        <v>1</v>
      </c>
      <c r="AD86" s="159">
        <v>1</v>
      </c>
      <c r="AE86" s="159">
        <v>1</v>
      </c>
    </row>
    <row r="87" spans="1:31" x14ac:dyDescent="0.25">
      <c r="A87" s="179" t="s">
        <v>39</v>
      </c>
      <c r="B87" s="180" t="str">
        <f>+B71</f>
        <v>2020-21</v>
      </c>
      <c r="C87" s="180" t="str">
        <f t="shared" ref="C87:AE87" si="142">+C71</f>
        <v>2021-22</v>
      </c>
      <c r="D87" s="180" t="str">
        <f t="shared" si="142"/>
        <v>2022-23</v>
      </c>
      <c r="E87" s="180" t="str">
        <f t="shared" si="142"/>
        <v>2023-24</v>
      </c>
      <c r="F87" s="180" t="str">
        <f t="shared" si="142"/>
        <v>2024-25</v>
      </c>
      <c r="G87" s="180" t="str">
        <f t="shared" si="142"/>
        <v>2025-26</v>
      </c>
      <c r="H87" s="180" t="str">
        <f t="shared" si="142"/>
        <v>2026-27</v>
      </c>
      <c r="I87" s="180" t="str">
        <f t="shared" si="142"/>
        <v>2027-28</v>
      </c>
      <c r="J87" s="180" t="str">
        <f t="shared" si="142"/>
        <v>2028-29</v>
      </c>
      <c r="K87" s="180" t="str">
        <f t="shared" si="142"/>
        <v>2029-30</v>
      </c>
      <c r="L87" s="180" t="str">
        <f t="shared" si="142"/>
        <v>2030-31</v>
      </c>
      <c r="M87" s="180" t="str">
        <f t="shared" si="142"/>
        <v>2031-32</v>
      </c>
      <c r="N87" s="180" t="str">
        <f t="shared" si="142"/>
        <v>2032-33</v>
      </c>
      <c r="O87" s="180" t="str">
        <f t="shared" si="142"/>
        <v>2033-34</v>
      </c>
      <c r="P87" s="180" t="str">
        <f t="shared" si="142"/>
        <v>2034-35</v>
      </c>
      <c r="Q87" s="180" t="str">
        <f t="shared" si="142"/>
        <v>2035-36</v>
      </c>
      <c r="R87" s="180" t="str">
        <f t="shared" si="142"/>
        <v>2036-37</v>
      </c>
      <c r="S87" s="180" t="str">
        <f t="shared" si="142"/>
        <v>2037-38</v>
      </c>
      <c r="T87" s="180" t="str">
        <f t="shared" si="142"/>
        <v>2038-39</v>
      </c>
      <c r="U87" s="180" t="str">
        <f t="shared" si="142"/>
        <v>2039-40</v>
      </c>
      <c r="V87" s="180" t="str">
        <f t="shared" si="142"/>
        <v>2040-41</v>
      </c>
      <c r="W87" s="180" t="str">
        <f t="shared" si="142"/>
        <v>2041-42</v>
      </c>
      <c r="X87" s="180" t="str">
        <f t="shared" si="142"/>
        <v>2042-43</v>
      </c>
      <c r="Y87" s="180" t="str">
        <f t="shared" si="142"/>
        <v>2043-44</v>
      </c>
      <c r="Z87" s="180" t="str">
        <f t="shared" si="142"/>
        <v>2044-45</v>
      </c>
      <c r="AA87" s="180" t="str">
        <f t="shared" si="142"/>
        <v>2045-46</v>
      </c>
      <c r="AB87" s="180" t="str">
        <f t="shared" si="142"/>
        <v>2046-47</v>
      </c>
      <c r="AC87" s="180" t="str">
        <f t="shared" si="142"/>
        <v>2047-48</v>
      </c>
      <c r="AD87" s="180" t="str">
        <f t="shared" si="142"/>
        <v>2048-49</v>
      </c>
      <c r="AE87" s="180" t="str">
        <f t="shared" si="142"/>
        <v>2049-50</v>
      </c>
    </row>
    <row r="88" spans="1:31" x14ac:dyDescent="0.25">
      <c r="A88" s="191"/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3"/>
    </row>
    <row r="89" spans="1:31" x14ac:dyDescent="0.25">
      <c r="A89" s="191" t="s">
        <v>113</v>
      </c>
      <c r="B89" s="192"/>
      <c r="C89" s="192"/>
      <c r="D89" s="192"/>
      <c r="E89" s="192"/>
      <c r="F89" s="192"/>
      <c r="G89" s="192"/>
      <c r="H89" s="192"/>
      <c r="I89" s="192">
        <f>+'Project costs'!K10</f>
        <v>1469.040343953792</v>
      </c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3"/>
    </row>
    <row r="90" spans="1:31" x14ac:dyDescent="0.25">
      <c r="A90" s="191" t="s">
        <v>114</v>
      </c>
      <c r="B90" s="192"/>
      <c r="C90" s="192"/>
      <c r="D90" s="192"/>
      <c r="E90" s="192"/>
      <c r="F90" s="192"/>
      <c r="G90" s="192"/>
      <c r="H90" s="192"/>
      <c r="I90" s="192">
        <f>+'Project costs'!M10</f>
        <v>565.39083273070219</v>
      </c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3"/>
    </row>
    <row r="91" spans="1:31" x14ac:dyDescent="0.25">
      <c r="A91" s="191"/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3"/>
    </row>
    <row r="92" spans="1:31" x14ac:dyDescent="0.25">
      <c r="A92" s="191" t="s">
        <v>142</v>
      </c>
      <c r="B92" s="192"/>
      <c r="C92" s="192"/>
      <c r="D92" s="192"/>
      <c r="E92" s="192"/>
      <c r="F92" s="192"/>
      <c r="G92" s="192"/>
      <c r="H92" s="192"/>
      <c r="I92" s="192">
        <f>+'Project costs'!$O$10</f>
        <v>23.139108061749567</v>
      </c>
      <c r="J92" s="192">
        <f>+I92</f>
        <v>23.139108061749567</v>
      </c>
      <c r="K92" s="192">
        <f t="shared" ref="K92" si="143">+J92</f>
        <v>23.139108061749567</v>
      </c>
      <c r="L92" s="192">
        <f t="shared" ref="L92" si="144">+K92</f>
        <v>23.139108061749567</v>
      </c>
      <c r="M92" s="192">
        <f t="shared" ref="M92" si="145">+L92</f>
        <v>23.139108061749567</v>
      </c>
      <c r="N92" s="192">
        <f t="shared" ref="N92" si="146">+M92</f>
        <v>23.139108061749567</v>
      </c>
      <c r="O92" s="192">
        <f t="shared" ref="O92" si="147">+N92</f>
        <v>23.139108061749567</v>
      </c>
      <c r="P92" s="192">
        <f t="shared" ref="P92" si="148">+O92</f>
        <v>23.139108061749567</v>
      </c>
      <c r="Q92" s="192">
        <f t="shared" ref="Q92" si="149">+P92</f>
        <v>23.139108061749567</v>
      </c>
      <c r="R92" s="192">
        <f t="shared" ref="R92" si="150">+Q92</f>
        <v>23.139108061749567</v>
      </c>
      <c r="S92" s="192">
        <f t="shared" ref="S92" si="151">+R92</f>
        <v>23.139108061749567</v>
      </c>
      <c r="T92" s="192">
        <f t="shared" ref="T92" si="152">+S92</f>
        <v>23.139108061749567</v>
      </c>
      <c r="U92" s="192">
        <f t="shared" ref="U92" si="153">+T92</f>
        <v>23.139108061749567</v>
      </c>
      <c r="V92" s="192">
        <f t="shared" ref="V92" si="154">+U92</f>
        <v>23.139108061749567</v>
      </c>
      <c r="W92" s="192">
        <f t="shared" ref="W92" si="155">+V92</f>
        <v>23.139108061749567</v>
      </c>
      <c r="X92" s="192">
        <f t="shared" ref="X92" si="156">+W92</f>
        <v>23.139108061749567</v>
      </c>
      <c r="Y92" s="192">
        <f t="shared" ref="Y92" si="157">+X92</f>
        <v>23.139108061749567</v>
      </c>
      <c r="Z92" s="192">
        <f t="shared" ref="Z92" si="158">+Y92</f>
        <v>23.139108061749567</v>
      </c>
      <c r="AA92" s="192">
        <f t="shared" ref="AA92" si="159">+Z92</f>
        <v>23.139108061749567</v>
      </c>
      <c r="AB92" s="192">
        <f t="shared" ref="AB92" si="160">+AA92</f>
        <v>23.139108061749567</v>
      </c>
      <c r="AC92" s="192">
        <f t="shared" ref="AC92" si="161">+AB92</f>
        <v>23.139108061749567</v>
      </c>
      <c r="AD92" s="192">
        <f t="shared" ref="AD92" si="162">+AC92</f>
        <v>23.139108061749567</v>
      </c>
      <c r="AE92" s="193">
        <f t="shared" ref="AE92" si="163">+AD92</f>
        <v>23.139108061749567</v>
      </c>
    </row>
    <row r="93" spans="1:31" x14ac:dyDescent="0.25">
      <c r="A93" s="194" t="s">
        <v>143</v>
      </c>
      <c r="B93" s="158"/>
      <c r="C93" s="158"/>
      <c r="D93" s="158"/>
      <c r="E93" s="158"/>
      <c r="F93" s="158"/>
      <c r="G93" s="158"/>
      <c r="H93" s="158"/>
      <c r="I93" s="158">
        <f>+'Project costs'!Q10</f>
        <v>4.5289365351629502</v>
      </c>
      <c r="J93" s="158">
        <f>+I93</f>
        <v>4.5289365351629502</v>
      </c>
      <c r="K93" s="158">
        <f t="shared" ref="K93:AE93" si="164">+J93</f>
        <v>4.5289365351629502</v>
      </c>
      <c r="L93" s="158">
        <f t="shared" si="164"/>
        <v>4.5289365351629502</v>
      </c>
      <c r="M93" s="158">
        <f t="shared" si="164"/>
        <v>4.5289365351629502</v>
      </c>
      <c r="N93" s="158">
        <f t="shared" si="164"/>
        <v>4.5289365351629502</v>
      </c>
      <c r="O93" s="158">
        <f t="shared" si="164"/>
        <v>4.5289365351629502</v>
      </c>
      <c r="P93" s="158">
        <f t="shared" si="164"/>
        <v>4.5289365351629502</v>
      </c>
      <c r="Q93" s="158">
        <f t="shared" si="164"/>
        <v>4.5289365351629502</v>
      </c>
      <c r="R93" s="158">
        <f t="shared" si="164"/>
        <v>4.5289365351629502</v>
      </c>
      <c r="S93" s="158">
        <f t="shared" si="164"/>
        <v>4.5289365351629502</v>
      </c>
      <c r="T93" s="158">
        <f t="shared" si="164"/>
        <v>4.5289365351629502</v>
      </c>
      <c r="U93" s="158">
        <f t="shared" si="164"/>
        <v>4.5289365351629502</v>
      </c>
      <c r="V93" s="158">
        <f t="shared" si="164"/>
        <v>4.5289365351629502</v>
      </c>
      <c r="W93" s="158">
        <f t="shared" si="164"/>
        <v>4.5289365351629502</v>
      </c>
      <c r="X93" s="158">
        <f t="shared" si="164"/>
        <v>4.5289365351629502</v>
      </c>
      <c r="Y93" s="158">
        <f t="shared" si="164"/>
        <v>4.5289365351629502</v>
      </c>
      <c r="Z93" s="158">
        <f t="shared" si="164"/>
        <v>4.5289365351629502</v>
      </c>
      <c r="AA93" s="158">
        <f t="shared" si="164"/>
        <v>4.5289365351629502</v>
      </c>
      <c r="AB93" s="158">
        <f t="shared" si="164"/>
        <v>4.5289365351629502</v>
      </c>
      <c r="AC93" s="158">
        <f t="shared" si="164"/>
        <v>4.5289365351629502</v>
      </c>
      <c r="AD93" s="158">
        <f t="shared" si="164"/>
        <v>4.5289365351629502</v>
      </c>
      <c r="AE93" s="195">
        <f t="shared" si="164"/>
        <v>4.5289365351629502</v>
      </c>
    </row>
    <row r="94" spans="1:31" x14ac:dyDescent="0.25">
      <c r="A94" s="185" t="s">
        <v>115</v>
      </c>
      <c r="B94" s="192">
        <f t="shared" ref="B94:AE94" si="165">SUM(B89:B93)</f>
        <v>0</v>
      </c>
      <c r="C94" s="192">
        <f t="shared" si="165"/>
        <v>0</v>
      </c>
      <c r="D94" s="192">
        <f t="shared" si="165"/>
        <v>0</v>
      </c>
      <c r="E94" s="192">
        <f t="shared" si="165"/>
        <v>0</v>
      </c>
      <c r="F94" s="192">
        <f t="shared" si="165"/>
        <v>0</v>
      </c>
      <c r="G94" s="192">
        <f t="shared" si="165"/>
        <v>0</v>
      </c>
      <c r="H94" s="192">
        <f t="shared" si="165"/>
        <v>0</v>
      </c>
      <c r="I94" s="192">
        <f t="shared" si="165"/>
        <v>2062.0992212814067</v>
      </c>
      <c r="J94" s="192">
        <f t="shared" si="165"/>
        <v>27.668044596912516</v>
      </c>
      <c r="K94" s="192">
        <f t="shared" si="165"/>
        <v>27.668044596912516</v>
      </c>
      <c r="L94" s="192">
        <f t="shared" si="165"/>
        <v>27.668044596912516</v>
      </c>
      <c r="M94" s="192">
        <f t="shared" si="165"/>
        <v>27.668044596912516</v>
      </c>
      <c r="N94" s="192">
        <f t="shared" si="165"/>
        <v>27.668044596912516</v>
      </c>
      <c r="O94" s="192">
        <f t="shared" si="165"/>
        <v>27.668044596912516</v>
      </c>
      <c r="P94" s="192">
        <f t="shared" si="165"/>
        <v>27.668044596912516</v>
      </c>
      <c r="Q94" s="192">
        <f t="shared" si="165"/>
        <v>27.668044596912516</v>
      </c>
      <c r="R94" s="192">
        <f t="shared" si="165"/>
        <v>27.668044596912516</v>
      </c>
      <c r="S94" s="192">
        <f t="shared" si="165"/>
        <v>27.668044596912516</v>
      </c>
      <c r="T94" s="192">
        <f t="shared" si="165"/>
        <v>27.668044596912516</v>
      </c>
      <c r="U94" s="192">
        <f t="shared" si="165"/>
        <v>27.668044596912516</v>
      </c>
      <c r="V94" s="192">
        <f t="shared" si="165"/>
        <v>27.668044596912516</v>
      </c>
      <c r="W94" s="192">
        <f t="shared" si="165"/>
        <v>27.668044596912516</v>
      </c>
      <c r="X94" s="192">
        <f t="shared" si="165"/>
        <v>27.668044596912516</v>
      </c>
      <c r="Y94" s="192">
        <f t="shared" si="165"/>
        <v>27.668044596912516</v>
      </c>
      <c r="Z94" s="192">
        <f t="shared" si="165"/>
        <v>27.668044596912516</v>
      </c>
      <c r="AA94" s="192">
        <f t="shared" si="165"/>
        <v>27.668044596912516</v>
      </c>
      <c r="AB94" s="192">
        <f t="shared" si="165"/>
        <v>27.668044596912516</v>
      </c>
      <c r="AC94" s="192">
        <f t="shared" si="165"/>
        <v>27.668044596912516</v>
      </c>
      <c r="AD94" s="192">
        <f t="shared" si="165"/>
        <v>27.668044596912516</v>
      </c>
      <c r="AE94" s="193">
        <f t="shared" si="165"/>
        <v>27.668044596912516</v>
      </c>
    </row>
    <row r="95" spans="1:31" x14ac:dyDescent="0.25">
      <c r="A95" s="185" t="s">
        <v>116</v>
      </c>
      <c r="B95" s="192">
        <v>0</v>
      </c>
      <c r="C95" s="192">
        <v>0</v>
      </c>
      <c r="D95" s="192">
        <v>0</v>
      </c>
      <c r="E95" s="192">
        <v>0</v>
      </c>
      <c r="F95" s="192">
        <v>0</v>
      </c>
      <c r="G95" s="192">
        <v>0</v>
      </c>
      <c r="H95" s="192">
        <v>0</v>
      </c>
      <c r="I95" s="192">
        <v>0</v>
      </c>
      <c r="J95" s="192">
        <v>0</v>
      </c>
      <c r="K95" s="192">
        <v>0</v>
      </c>
      <c r="L95" s="192">
        <v>0</v>
      </c>
      <c r="M95" s="192">
        <v>0</v>
      </c>
      <c r="N95" s="192">
        <v>0</v>
      </c>
      <c r="O95" s="192">
        <v>0</v>
      </c>
      <c r="P95" s="192">
        <v>0</v>
      </c>
      <c r="Q95" s="192">
        <v>0</v>
      </c>
      <c r="R95" s="192">
        <v>0</v>
      </c>
      <c r="S95" s="192">
        <v>0</v>
      </c>
      <c r="T95" s="192">
        <v>0</v>
      </c>
      <c r="U95" s="192">
        <v>0</v>
      </c>
      <c r="V95" s="192">
        <v>0</v>
      </c>
      <c r="W95" s="192">
        <v>0</v>
      </c>
      <c r="X95" s="192">
        <v>0</v>
      </c>
      <c r="Y95" s="192">
        <v>0</v>
      </c>
      <c r="Z95" s="192">
        <v>0</v>
      </c>
      <c r="AA95" s="192">
        <v>0</v>
      </c>
      <c r="AB95" s="192">
        <v>0</v>
      </c>
      <c r="AC95" s="192">
        <v>0</v>
      </c>
      <c r="AD95" s="192">
        <v>0</v>
      </c>
      <c r="AE95" s="193">
        <f>(+I89-(I89/40*SUM(I86:AE86,-1))+(I90-(I90/60*SUM(I86:AE86,-1))))*-1</f>
        <v>-1019.1490155086511</v>
      </c>
    </row>
    <row r="96" spans="1:31" x14ac:dyDescent="0.25">
      <c r="A96" s="185"/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63"/>
    </row>
    <row r="97" spans="1:31" x14ac:dyDescent="0.25">
      <c r="A97" s="164" t="s">
        <v>154</v>
      </c>
      <c r="B97" s="196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63"/>
    </row>
    <row r="98" spans="1:31" x14ac:dyDescent="0.25">
      <c r="A98" s="185" t="s">
        <v>160</v>
      </c>
      <c r="B98" s="196">
        <f>+XNPV(SlowWACC,$B$94:$AE$94,$B$10:$AE$10)+XNPV(SlowWACC,$B$95:$AE$95,$B$10:$AE$10)</f>
        <v>1556.6255335415735</v>
      </c>
      <c r="C98" s="198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63"/>
    </row>
    <row r="99" spans="1:31" x14ac:dyDescent="0.25">
      <c r="A99" s="217" t="s">
        <v>151</v>
      </c>
      <c r="B99" s="196">
        <f>+XNPV(NotSlowWACC,$B$94:$AE$94,$B$10:$AE$10)+XNPV(NotSlowWACC,$B$95:$AE$95,$B$10:$AE$10)</f>
        <v>1490.5783516533743</v>
      </c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63"/>
    </row>
    <row r="100" spans="1:31" x14ac:dyDescent="0.25">
      <c r="A100" s="185"/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63"/>
    </row>
    <row r="101" spans="1:31" x14ac:dyDescent="0.25">
      <c r="A101" s="185"/>
      <c r="B101" s="197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63"/>
    </row>
    <row r="102" spans="1:31" x14ac:dyDescent="0.25">
      <c r="A102" s="46" t="s">
        <v>1</v>
      </c>
      <c r="B102" s="237" t="s">
        <v>150</v>
      </c>
      <c r="C102" s="237" t="str">
        <f>+B22</f>
        <v>Central</v>
      </c>
      <c r="D102" s="237" t="str">
        <f>+B37</f>
        <v>High DER</v>
      </c>
      <c r="E102" s="237" t="str">
        <f>+B52</f>
        <v xml:space="preserve">Fast Change </v>
      </c>
      <c r="F102" s="237" t="str">
        <f>+B67</f>
        <v>Step Change</v>
      </c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63"/>
    </row>
    <row r="103" spans="1:31" x14ac:dyDescent="0.25">
      <c r="A103" s="164" t="s">
        <v>118</v>
      </c>
      <c r="B103" s="196">
        <f>+B17</f>
        <v>2484.6573915465624</v>
      </c>
      <c r="C103" s="196">
        <f>+B32</f>
        <v>2453.0989947775256</v>
      </c>
      <c r="D103" s="196">
        <f>+B47</f>
        <v>2449.6540551331418</v>
      </c>
      <c r="E103" s="196">
        <f>+B62</f>
        <v>2597.1804754087057</v>
      </c>
      <c r="F103" s="196">
        <f>+B77</f>
        <v>3728.765306227082</v>
      </c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63"/>
    </row>
    <row r="104" spans="1:31" ht="15.75" thickBot="1" x14ac:dyDescent="0.3">
      <c r="A104" s="199" t="s">
        <v>161</v>
      </c>
      <c r="B104" s="186">
        <f>+B98</f>
        <v>1556.6255335415735</v>
      </c>
      <c r="C104" s="186">
        <f>+B99</f>
        <v>1490.5783516533743</v>
      </c>
      <c r="D104" s="186">
        <f>+B99</f>
        <v>1490.5783516533743</v>
      </c>
      <c r="E104" s="186">
        <f>+B99</f>
        <v>1490.5783516533743</v>
      </c>
      <c r="F104" s="186">
        <f>+B99</f>
        <v>1490.5783516533743</v>
      </c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63"/>
    </row>
    <row r="105" spans="1:31" ht="15.75" thickTop="1" x14ac:dyDescent="0.25">
      <c r="A105" s="164" t="s">
        <v>119</v>
      </c>
      <c r="B105" s="196">
        <f>+B103-B104</f>
        <v>928.03185800498886</v>
      </c>
      <c r="C105" s="196">
        <f>+C103-C104</f>
        <v>962.52064312415132</v>
      </c>
      <c r="D105" s="196">
        <f t="shared" ref="D105:F105" si="166">+D103-D104</f>
        <v>959.07570347976753</v>
      </c>
      <c r="E105" s="196">
        <f t="shared" si="166"/>
        <v>1106.6021237553314</v>
      </c>
      <c r="F105" s="196">
        <f t="shared" si="166"/>
        <v>2238.1869545737077</v>
      </c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63"/>
    </row>
    <row r="106" spans="1:31" ht="15.75" thickBot="1" x14ac:dyDescent="0.3">
      <c r="A106" s="200"/>
      <c r="B106" s="201"/>
      <c r="C106" s="201"/>
      <c r="D106" s="201"/>
      <c r="E106" s="201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202"/>
    </row>
    <row r="107" spans="1:31" ht="19.5" thickBot="1" x14ac:dyDescent="0.35">
      <c r="A107" s="219" t="s">
        <v>152</v>
      </c>
      <c r="B107" s="220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2"/>
    </row>
    <row r="108" spans="1:31" ht="15.75" thickTop="1" x14ac:dyDescent="0.25">
      <c r="A108" s="223" t="str">
        <f>A6</f>
        <v xml:space="preserve">Option 1:  600 MW in 2027 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224"/>
    </row>
    <row r="109" spans="1:31" x14ac:dyDescent="0.25">
      <c r="A109" s="225" t="str">
        <f>A7</f>
        <v xml:space="preserve">Scenario: </v>
      </c>
      <c r="B109" s="74" t="str">
        <f>B7</f>
        <v xml:space="preserve">Slow Change </v>
      </c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226"/>
    </row>
    <row r="110" spans="1:31" x14ac:dyDescent="0.25">
      <c r="A110" s="227"/>
      <c r="B110" s="203">
        <v>1</v>
      </c>
      <c r="C110" s="204">
        <v>1</v>
      </c>
      <c r="D110" s="204">
        <v>1</v>
      </c>
      <c r="E110" s="204">
        <v>1</v>
      </c>
      <c r="F110" s="204">
        <v>1</v>
      </c>
      <c r="G110" s="204">
        <v>1</v>
      </c>
      <c r="H110" s="204">
        <v>1</v>
      </c>
      <c r="I110" s="204">
        <v>1</v>
      </c>
      <c r="J110" s="204">
        <v>1</v>
      </c>
      <c r="K110" s="204">
        <v>1</v>
      </c>
      <c r="L110" s="204">
        <v>1</v>
      </c>
      <c r="M110" s="204">
        <v>1</v>
      </c>
      <c r="N110" s="204">
        <v>1</v>
      </c>
      <c r="O110" s="204">
        <v>1</v>
      </c>
      <c r="P110" s="204">
        <v>1</v>
      </c>
      <c r="Q110" s="204">
        <v>1</v>
      </c>
      <c r="R110" s="204">
        <v>1</v>
      </c>
      <c r="S110" s="204">
        <v>1</v>
      </c>
      <c r="T110" s="204">
        <v>1</v>
      </c>
      <c r="U110" s="204">
        <v>1</v>
      </c>
      <c r="V110" s="204">
        <v>1</v>
      </c>
      <c r="W110" s="204">
        <v>1</v>
      </c>
      <c r="X110" s="204">
        <v>1</v>
      </c>
      <c r="Y110" s="204">
        <v>1</v>
      </c>
      <c r="Z110" s="204">
        <v>1</v>
      </c>
      <c r="AA110" s="204">
        <v>1</v>
      </c>
      <c r="AB110" s="204">
        <v>1</v>
      </c>
      <c r="AC110" s="204">
        <v>1</v>
      </c>
      <c r="AD110" s="204">
        <v>1</v>
      </c>
      <c r="AE110" s="228">
        <v>1</v>
      </c>
    </row>
    <row r="111" spans="1:31" x14ac:dyDescent="0.25">
      <c r="A111" s="229" t="s">
        <v>39</v>
      </c>
      <c r="B111" s="180" t="str">
        <f>+B87</f>
        <v>2020-21</v>
      </c>
      <c r="C111" s="180" t="str">
        <f t="shared" ref="C111:AE111" si="167">+C87</f>
        <v>2021-22</v>
      </c>
      <c r="D111" s="180" t="str">
        <f t="shared" si="167"/>
        <v>2022-23</v>
      </c>
      <c r="E111" s="180" t="str">
        <f t="shared" si="167"/>
        <v>2023-24</v>
      </c>
      <c r="F111" s="180" t="str">
        <f t="shared" si="167"/>
        <v>2024-25</v>
      </c>
      <c r="G111" s="180" t="str">
        <f t="shared" si="167"/>
        <v>2025-26</v>
      </c>
      <c r="H111" s="180" t="str">
        <f t="shared" si="167"/>
        <v>2026-27</v>
      </c>
      <c r="I111" s="180" t="str">
        <f t="shared" si="167"/>
        <v>2027-28</v>
      </c>
      <c r="J111" s="180" t="str">
        <f t="shared" si="167"/>
        <v>2028-29</v>
      </c>
      <c r="K111" s="180" t="str">
        <f t="shared" si="167"/>
        <v>2029-30</v>
      </c>
      <c r="L111" s="180" t="str">
        <f t="shared" si="167"/>
        <v>2030-31</v>
      </c>
      <c r="M111" s="180" t="str">
        <f t="shared" si="167"/>
        <v>2031-32</v>
      </c>
      <c r="N111" s="180" t="str">
        <f t="shared" si="167"/>
        <v>2032-33</v>
      </c>
      <c r="O111" s="180" t="str">
        <f t="shared" si="167"/>
        <v>2033-34</v>
      </c>
      <c r="P111" s="180" t="str">
        <f t="shared" si="167"/>
        <v>2034-35</v>
      </c>
      <c r="Q111" s="180" t="str">
        <f t="shared" si="167"/>
        <v>2035-36</v>
      </c>
      <c r="R111" s="180" t="str">
        <f t="shared" si="167"/>
        <v>2036-37</v>
      </c>
      <c r="S111" s="180" t="str">
        <f t="shared" si="167"/>
        <v>2037-38</v>
      </c>
      <c r="T111" s="180" t="str">
        <f t="shared" si="167"/>
        <v>2038-39</v>
      </c>
      <c r="U111" s="180" t="str">
        <f t="shared" si="167"/>
        <v>2039-40</v>
      </c>
      <c r="V111" s="180" t="str">
        <f t="shared" si="167"/>
        <v>2040-41</v>
      </c>
      <c r="W111" s="180" t="str">
        <f t="shared" si="167"/>
        <v>2041-42</v>
      </c>
      <c r="X111" s="180" t="str">
        <f t="shared" si="167"/>
        <v>2042-43</v>
      </c>
      <c r="Y111" s="180" t="str">
        <f t="shared" si="167"/>
        <v>2043-44</v>
      </c>
      <c r="Z111" s="180" t="str">
        <f t="shared" si="167"/>
        <v>2044-45</v>
      </c>
      <c r="AA111" s="180" t="str">
        <f t="shared" si="167"/>
        <v>2045-46</v>
      </c>
      <c r="AB111" s="180" t="str">
        <f t="shared" si="167"/>
        <v>2046-47</v>
      </c>
      <c r="AC111" s="180" t="str">
        <f t="shared" si="167"/>
        <v>2047-48</v>
      </c>
      <c r="AD111" s="180" t="str">
        <f t="shared" si="167"/>
        <v>2048-49</v>
      </c>
      <c r="AE111" s="230" t="str">
        <f t="shared" si="167"/>
        <v>2049-50</v>
      </c>
    </row>
    <row r="112" spans="1:31" x14ac:dyDescent="0.25">
      <c r="A112" s="191"/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3"/>
    </row>
    <row r="113" spans="1:31" x14ac:dyDescent="0.25">
      <c r="A113" s="191" t="s">
        <v>136</v>
      </c>
      <c r="B113" s="192">
        <f t="shared" ref="B113:AE113" si="168">+B15</f>
        <v>0</v>
      </c>
      <c r="C113" s="192">
        <f t="shared" si="168"/>
        <v>-6.7382304396129667E-4</v>
      </c>
      <c r="D113" s="192">
        <f t="shared" si="168"/>
        <v>-0.43786063318971347</v>
      </c>
      <c r="E113" s="192">
        <f t="shared" si="168"/>
        <v>-0.36123518555759432</v>
      </c>
      <c r="F113" s="192">
        <f t="shared" si="168"/>
        <v>-12.968353646617125</v>
      </c>
      <c r="G113" s="192">
        <f t="shared" si="168"/>
        <v>12.885646212277683</v>
      </c>
      <c r="H113" s="192">
        <f t="shared" si="168"/>
        <v>13.806771030281443</v>
      </c>
      <c r="I113" s="192">
        <f t="shared" si="168"/>
        <v>144.50327793712245</v>
      </c>
      <c r="J113" s="192">
        <f t="shared" si="168"/>
        <v>379.89686310579879</v>
      </c>
      <c r="K113" s="192">
        <f t="shared" si="168"/>
        <v>157.99134152481517</v>
      </c>
      <c r="L113" s="192">
        <f t="shared" si="168"/>
        <v>148.13826308797886</v>
      </c>
      <c r="M113" s="192">
        <f t="shared" si="168"/>
        <v>136.99684435267639</v>
      </c>
      <c r="N113" s="192">
        <f t="shared" si="168"/>
        <v>150.41011050803363</v>
      </c>
      <c r="O113" s="192">
        <f t="shared" si="168"/>
        <v>153.49264728681118</v>
      </c>
      <c r="P113" s="192">
        <f t="shared" si="168"/>
        <v>159.50495700961798</v>
      </c>
      <c r="Q113" s="192">
        <f t="shared" si="168"/>
        <v>148.56066564344002</v>
      </c>
      <c r="R113" s="192">
        <f t="shared" si="168"/>
        <v>156.07959174638708</v>
      </c>
      <c r="S113" s="192">
        <f t="shared" si="168"/>
        <v>166.88735802501878</v>
      </c>
      <c r="T113" s="192">
        <f t="shared" si="168"/>
        <v>426.72328083165644</v>
      </c>
      <c r="U113" s="192">
        <f t="shared" si="168"/>
        <v>231.52726113948907</v>
      </c>
      <c r="V113" s="192">
        <f t="shared" si="168"/>
        <v>173.16113101575263</v>
      </c>
      <c r="W113" s="192">
        <f t="shared" si="168"/>
        <v>170.49984805144595</v>
      </c>
      <c r="X113" s="192">
        <f t="shared" si="168"/>
        <v>179.31463387967062</v>
      </c>
      <c r="Y113" s="192">
        <f t="shared" si="168"/>
        <v>197.53747443563302</v>
      </c>
      <c r="Z113" s="192">
        <f t="shared" si="168"/>
        <v>211.00161001276211</v>
      </c>
      <c r="AA113" s="192">
        <f t="shared" si="168"/>
        <v>193.46822078508657</v>
      </c>
      <c r="AB113" s="192">
        <f t="shared" si="168"/>
        <v>184.92433570981927</v>
      </c>
      <c r="AC113" s="192">
        <f t="shared" si="168"/>
        <v>183.00473549785008</v>
      </c>
      <c r="AD113" s="192">
        <f t="shared" si="168"/>
        <v>386.11646202113172</v>
      </c>
      <c r="AE113" s="193">
        <f t="shared" si="168"/>
        <v>419.04658183550987</v>
      </c>
    </row>
    <row r="114" spans="1:31" x14ac:dyDescent="0.25">
      <c r="A114" s="194" t="s">
        <v>137</v>
      </c>
      <c r="B114" s="158">
        <v>0</v>
      </c>
      <c r="C114" s="158">
        <v>0</v>
      </c>
      <c r="D114" s="158">
        <v>0</v>
      </c>
      <c r="E114" s="158">
        <v>0</v>
      </c>
      <c r="F114" s="158">
        <v>0</v>
      </c>
      <c r="G114" s="158">
        <v>0</v>
      </c>
      <c r="H114" s="158">
        <v>0</v>
      </c>
      <c r="I114" s="158">
        <v>0</v>
      </c>
      <c r="J114" s="158">
        <v>0</v>
      </c>
      <c r="K114" s="158">
        <v>0</v>
      </c>
      <c r="L114" s="158">
        <v>0</v>
      </c>
      <c r="M114" s="158">
        <v>0</v>
      </c>
      <c r="N114" s="158">
        <v>0</v>
      </c>
      <c r="O114" s="158">
        <v>0</v>
      </c>
      <c r="P114" s="158">
        <v>0</v>
      </c>
      <c r="Q114" s="158">
        <v>0</v>
      </c>
      <c r="R114" s="158">
        <v>0</v>
      </c>
      <c r="S114" s="158">
        <v>0</v>
      </c>
      <c r="T114" s="158">
        <v>0</v>
      </c>
      <c r="U114" s="158">
        <v>0</v>
      </c>
      <c r="V114" s="158">
        <v>0</v>
      </c>
      <c r="W114" s="158">
        <v>0</v>
      </c>
      <c r="X114" s="158">
        <v>0</v>
      </c>
      <c r="Y114" s="158">
        <v>0</v>
      </c>
      <c r="Z114" s="158">
        <v>0</v>
      </c>
      <c r="AA114" s="158">
        <v>0</v>
      </c>
      <c r="AB114" s="158">
        <v>0</v>
      </c>
      <c r="AC114" s="158">
        <v>0</v>
      </c>
      <c r="AD114" s="158">
        <v>0</v>
      </c>
      <c r="AE114" s="195">
        <f>+PV(SlowWACC,(40-SUM(I110:AE110)),AVERAGE(Y113:AC113))*-1</f>
        <v>2397.0157364387046</v>
      </c>
    </row>
    <row r="115" spans="1:31" x14ac:dyDescent="0.25">
      <c r="A115" s="185" t="s">
        <v>138</v>
      </c>
      <c r="B115" s="192">
        <f>SUM(B113:B114)</f>
        <v>0</v>
      </c>
      <c r="C115" s="192">
        <f t="shared" ref="C115:AE115" si="169">SUM(C113:C114)</f>
        <v>-6.7382304396129667E-4</v>
      </c>
      <c r="D115" s="192">
        <f t="shared" si="169"/>
        <v>-0.43786063318971347</v>
      </c>
      <c r="E115" s="192">
        <f t="shared" si="169"/>
        <v>-0.36123518555759432</v>
      </c>
      <c r="F115" s="192">
        <f t="shared" si="169"/>
        <v>-12.968353646617125</v>
      </c>
      <c r="G115" s="192">
        <f t="shared" si="169"/>
        <v>12.885646212277683</v>
      </c>
      <c r="H115" s="192">
        <f t="shared" si="169"/>
        <v>13.806771030281443</v>
      </c>
      <c r="I115" s="192">
        <f t="shared" si="169"/>
        <v>144.50327793712245</v>
      </c>
      <c r="J115" s="192">
        <f t="shared" si="169"/>
        <v>379.89686310579879</v>
      </c>
      <c r="K115" s="192">
        <f t="shared" si="169"/>
        <v>157.99134152481517</v>
      </c>
      <c r="L115" s="192">
        <f t="shared" si="169"/>
        <v>148.13826308797886</v>
      </c>
      <c r="M115" s="192">
        <f t="shared" si="169"/>
        <v>136.99684435267639</v>
      </c>
      <c r="N115" s="192">
        <f t="shared" si="169"/>
        <v>150.41011050803363</v>
      </c>
      <c r="O115" s="192">
        <f t="shared" si="169"/>
        <v>153.49264728681118</v>
      </c>
      <c r="P115" s="192">
        <f t="shared" si="169"/>
        <v>159.50495700961798</v>
      </c>
      <c r="Q115" s="192">
        <f t="shared" si="169"/>
        <v>148.56066564344002</v>
      </c>
      <c r="R115" s="192">
        <f t="shared" si="169"/>
        <v>156.07959174638708</v>
      </c>
      <c r="S115" s="192">
        <f t="shared" si="169"/>
        <v>166.88735802501878</v>
      </c>
      <c r="T115" s="192">
        <f t="shared" si="169"/>
        <v>426.72328083165644</v>
      </c>
      <c r="U115" s="192">
        <f t="shared" si="169"/>
        <v>231.52726113948907</v>
      </c>
      <c r="V115" s="192">
        <f t="shared" si="169"/>
        <v>173.16113101575263</v>
      </c>
      <c r="W115" s="192">
        <f t="shared" si="169"/>
        <v>170.49984805144595</v>
      </c>
      <c r="X115" s="192">
        <f t="shared" si="169"/>
        <v>179.31463387967062</v>
      </c>
      <c r="Y115" s="192">
        <f t="shared" si="169"/>
        <v>197.53747443563302</v>
      </c>
      <c r="Z115" s="192">
        <f t="shared" si="169"/>
        <v>211.00161001276211</v>
      </c>
      <c r="AA115" s="192">
        <f t="shared" si="169"/>
        <v>193.46822078508657</v>
      </c>
      <c r="AB115" s="192">
        <f t="shared" si="169"/>
        <v>184.92433570981927</v>
      </c>
      <c r="AC115" s="192">
        <f t="shared" si="169"/>
        <v>183.00473549785008</v>
      </c>
      <c r="AD115" s="192">
        <f t="shared" si="169"/>
        <v>386.11646202113172</v>
      </c>
      <c r="AE115" s="193">
        <f t="shared" si="169"/>
        <v>2816.0623182742147</v>
      </c>
    </row>
    <row r="116" spans="1:31" x14ac:dyDescent="0.25">
      <c r="A116" s="185"/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3"/>
    </row>
    <row r="117" spans="1:31" x14ac:dyDescent="0.25">
      <c r="A117" s="185" t="s">
        <v>139</v>
      </c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3"/>
    </row>
    <row r="118" spans="1:31" x14ac:dyDescent="0.25">
      <c r="A118" s="185" t="s">
        <v>140</v>
      </c>
      <c r="B118" s="192">
        <v>0</v>
      </c>
      <c r="C118" s="192">
        <v>0</v>
      </c>
      <c r="D118" s="192">
        <v>0</v>
      </c>
      <c r="E118" s="192">
        <v>0</v>
      </c>
      <c r="F118" s="192">
        <v>0</v>
      </c>
      <c r="G118" s="192">
        <v>0</v>
      </c>
      <c r="H118" s="192">
        <v>0</v>
      </c>
      <c r="I118" s="192">
        <v>0</v>
      </c>
      <c r="J118" s="192">
        <v>0</v>
      </c>
      <c r="K118" s="192">
        <v>0</v>
      </c>
      <c r="L118" s="192">
        <v>0</v>
      </c>
      <c r="M118" s="192">
        <v>0</v>
      </c>
      <c r="N118" s="192">
        <v>0</v>
      </c>
      <c r="O118" s="192">
        <v>0</v>
      </c>
      <c r="P118" s="192">
        <v>0</v>
      </c>
      <c r="Q118" s="192">
        <v>0</v>
      </c>
      <c r="R118" s="192">
        <v>0</v>
      </c>
      <c r="S118" s="192">
        <v>0</v>
      </c>
      <c r="T118" s="192">
        <v>0</v>
      </c>
      <c r="U118" s="192">
        <v>0</v>
      </c>
      <c r="V118" s="192">
        <v>0</v>
      </c>
      <c r="W118" s="192">
        <v>0</v>
      </c>
      <c r="X118" s="192">
        <v>0</v>
      </c>
      <c r="Y118" s="192">
        <v>0</v>
      </c>
      <c r="Z118" s="192">
        <v>0</v>
      </c>
      <c r="AA118" s="192">
        <v>0</v>
      </c>
      <c r="AB118" s="192">
        <v>0</v>
      </c>
      <c r="AC118" s="192">
        <v>0</v>
      </c>
      <c r="AD118" s="192">
        <v>0</v>
      </c>
      <c r="AE118" s="193">
        <f>+PV(SlowWACC,40-SUM(I110:AE110),AVERAGE(AA92:AE92))*-1</f>
        <v>285.91981648671884</v>
      </c>
    </row>
    <row r="119" spans="1:31" x14ac:dyDescent="0.25">
      <c r="A119" s="231" t="s">
        <v>141</v>
      </c>
      <c r="B119" s="158">
        <v>0</v>
      </c>
      <c r="C119" s="158">
        <v>0</v>
      </c>
      <c r="D119" s="158">
        <v>0</v>
      </c>
      <c r="E119" s="158">
        <v>0</v>
      </c>
      <c r="F119" s="158">
        <v>0</v>
      </c>
      <c r="G119" s="158">
        <v>0</v>
      </c>
      <c r="H119" s="158">
        <v>0</v>
      </c>
      <c r="I119" s="158">
        <v>0</v>
      </c>
      <c r="J119" s="158">
        <v>0</v>
      </c>
      <c r="K119" s="158">
        <v>0</v>
      </c>
      <c r="L119" s="158">
        <v>0</v>
      </c>
      <c r="M119" s="158">
        <v>0</v>
      </c>
      <c r="N119" s="158">
        <v>0</v>
      </c>
      <c r="O119" s="158">
        <v>0</v>
      </c>
      <c r="P119" s="158">
        <v>0</v>
      </c>
      <c r="Q119" s="158">
        <v>0</v>
      </c>
      <c r="R119" s="158">
        <v>0</v>
      </c>
      <c r="S119" s="158">
        <v>0</v>
      </c>
      <c r="T119" s="158">
        <v>0</v>
      </c>
      <c r="U119" s="158">
        <v>0</v>
      </c>
      <c r="V119" s="158">
        <v>0</v>
      </c>
      <c r="W119" s="158">
        <v>0</v>
      </c>
      <c r="X119" s="158">
        <v>0</v>
      </c>
      <c r="Y119" s="158">
        <v>0</v>
      </c>
      <c r="Z119" s="158">
        <v>0</v>
      </c>
      <c r="AA119" s="158">
        <v>0</v>
      </c>
      <c r="AB119" s="158">
        <v>0</v>
      </c>
      <c r="AC119" s="158">
        <v>0</v>
      </c>
      <c r="AD119" s="158">
        <v>0</v>
      </c>
      <c r="AE119" s="195">
        <f>+PV(SlowWACC,40-SUM(I110:AE110),AVERAGE(AA93:AE93))*-1</f>
        <v>55.962083739708234</v>
      </c>
    </row>
    <row r="120" spans="1:31" x14ac:dyDescent="0.25">
      <c r="A120" s="185" t="s">
        <v>144</v>
      </c>
      <c r="B120" s="232">
        <f>+SUM(B118:B119)</f>
        <v>0</v>
      </c>
      <c r="C120" s="232">
        <f t="shared" ref="C120:AE120" si="170">+SUM(C118:C119)</f>
        <v>0</v>
      </c>
      <c r="D120" s="232">
        <f t="shared" si="170"/>
        <v>0</v>
      </c>
      <c r="E120" s="232">
        <f t="shared" si="170"/>
        <v>0</v>
      </c>
      <c r="F120" s="232">
        <f t="shared" si="170"/>
        <v>0</v>
      </c>
      <c r="G120" s="232">
        <f t="shared" si="170"/>
        <v>0</v>
      </c>
      <c r="H120" s="232">
        <f t="shared" si="170"/>
        <v>0</v>
      </c>
      <c r="I120" s="232">
        <f t="shared" si="170"/>
        <v>0</v>
      </c>
      <c r="J120" s="232">
        <f t="shared" si="170"/>
        <v>0</v>
      </c>
      <c r="K120" s="232">
        <f t="shared" si="170"/>
        <v>0</v>
      </c>
      <c r="L120" s="232">
        <f t="shared" si="170"/>
        <v>0</v>
      </c>
      <c r="M120" s="232">
        <f t="shared" si="170"/>
        <v>0</v>
      </c>
      <c r="N120" s="232">
        <f t="shared" si="170"/>
        <v>0</v>
      </c>
      <c r="O120" s="232">
        <f t="shared" si="170"/>
        <v>0</v>
      </c>
      <c r="P120" s="232">
        <f t="shared" si="170"/>
        <v>0</v>
      </c>
      <c r="Q120" s="232">
        <f t="shared" si="170"/>
        <v>0</v>
      </c>
      <c r="R120" s="232">
        <f t="shared" si="170"/>
        <v>0</v>
      </c>
      <c r="S120" s="232">
        <f t="shared" si="170"/>
        <v>0</v>
      </c>
      <c r="T120" s="232">
        <f t="shared" si="170"/>
        <v>0</v>
      </c>
      <c r="U120" s="232">
        <f t="shared" si="170"/>
        <v>0</v>
      </c>
      <c r="V120" s="232">
        <f t="shared" si="170"/>
        <v>0</v>
      </c>
      <c r="W120" s="232">
        <f t="shared" si="170"/>
        <v>0</v>
      </c>
      <c r="X120" s="232">
        <f t="shared" si="170"/>
        <v>0</v>
      </c>
      <c r="Y120" s="232">
        <f t="shared" si="170"/>
        <v>0</v>
      </c>
      <c r="Z120" s="232">
        <f t="shared" si="170"/>
        <v>0</v>
      </c>
      <c r="AA120" s="232">
        <f t="shared" si="170"/>
        <v>0</v>
      </c>
      <c r="AB120" s="232">
        <f t="shared" si="170"/>
        <v>0</v>
      </c>
      <c r="AC120" s="232">
        <f t="shared" si="170"/>
        <v>0</v>
      </c>
      <c r="AD120" s="232">
        <f t="shared" si="170"/>
        <v>0</v>
      </c>
      <c r="AE120" s="233">
        <f t="shared" si="170"/>
        <v>341.88190022642709</v>
      </c>
    </row>
    <row r="121" spans="1:31" x14ac:dyDescent="0.25">
      <c r="A121" s="185"/>
      <c r="B121" s="184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3"/>
    </row>
    <row r="122" spans="1:31" x14ac:dyDescent="0.25">
      <c r="A122" s="185" t="s">
        <v>118</v>
      </c>
      <c r="B122" s="196">
        <f>XNPV(SlowWACC,B115:AE115,$B$10:$AE$10)</f>
        <v>3296.8087950329427</v>
      </c>
      <c r="C122" s="184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4"/>
      <c r="AE122" s="163"/>
    </row>
    <row r="123" spans="1:31" ht="15.75" thickBot="1" x14ac:dyDescent="0.3">
      <c r="A123" s="234" t="s">
        <v>117</v>
      </c>
      <c r="B123" s="186">
        <f>+B98+XNPV(SlowWACC,$B$120:$AE$120,$B$10:$AE$10)</f>
        <v>1672.4611790380059</v>
      </c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63"/>
    </row>
    <row r="124" spans="1:31" ht="15.75" thickTop="1" x14ac:dyDescent="0.25">
      <c r="A124" s="164" t="s">
        <v>119</v>
      </c>
      <c r="B124" s="196">
        <f>+B122-B123</f>
        <v>1624.3476159949369</v>
      </c>
      <c r="C124" s="184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63"/>
    </row>
    <row r="125" spans="1:31" ht="15.75" thickBot="1" x14ac:dyDescent="0.3">
      <c r="A125" s="164"/>
      <c r="B125" s="196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C125" s="184"/>
      <c r="AD125" s="184"/>
      <c r="AE125" s="163"/>
    </row>
    <row r="126" spans="1:31" ht="15.75" thickTop="1" x14ac:dyDescent="0.25">
      <c r="A126" s="223" t="str">
        <f>+A21</f>
        <v xml:space="preserve">Option 1:  600 MW in 2027 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224"/>
    </row>
    <row r="127" spans="1:31" x14ac:dyDescent="0.25">
      <c r="A127" s="225" t="str">
        <f>+A22</f>
        <v xml:space="preserve">Scenario: </v>
      </c>
      <c r="B127" s="74" t="str">
        <f>+B22</f>
        <v>Central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226"/>
    </row>
    <row r="128" spans="1:31" x14ac:dyDescent="0.25">
      <c r="A128" s="185"/>
      <c r="B128" s="189">
        <v>1</v>
      </c>
      <c r="C128" s="189">
        <v>1</v>
      </c>
      <c r="D128" s="189">
        <v>1</v>
      </c>
      <c r="E128" s="189">
        <v>1</v>
      </c>
      <c r="F128" s="189">
        <v>1</v>
      </c>
      <c r="G128" s="189">
        <v>1</v>
      </c>
      <c r="H128" s="189">
        <v>1</v>
      </c>
      <c r="I128" s="189">
        <v>1</v>
      </c>
      <c r="J128" s="189">
        <v>1</v>
      </c>
      <c r="K128" s="189">
        <v>1</v>
      </c>
      <c r="L128" s="189">
        <v>1</v>
      </c>
      <c r="M128" s="189">
        <v>1</v>
      </c>
      <c r="N128" s="189">
        <v>1</v>
      </c>
      <c r="O128" s="189">
        <v>1</v>
      </c>
      <c r="P128" s="189">
        <v>1</v>
      </c>
      <c r="Q128" s="189">
        <v>1</v>
      </c>
      <c r="R128" s="189">
        <v>1</v>
      </c>
      <c r="S128" s="189">
        <v>1</v>
      </c>
      <c r="T128" s="189">
        <v>1</v>
      </c>
      <c r="U128" s="189">
        <v>1</v>
      </c>
      <c r="V128" s="189">
        <v>1</v>
      </c>
      <c r="W128" s="189">
        <v>1</v>
      </c>
      <c r="X128" s="189">
        <v>1</v>
      </c>
      <c r="Y128" s="189">
        <v>1</v>
      </c>
      <c r="Z128" s="189">
        <v>1</v>
      </c>
      <c r="AA128" s="189">
        <v>1</v>
      </c>
      <c r="AB128" s="189">
        <v>1</v>
      </c>
      <c r="AC128" s="189">
        <v>1</v>
      </c>
      <c r="AD128" s="189">
        <v>1</v>
      </c>
      <c r="AE128" s="190">
        <v>1</v>
      </c>
    </row>
    <row r="129" spans="1:31" x14ac:dyDescent="0.25">
      <c r="A129" s="229" t="s">
        <v>39</v>
      </c>
      <c r="B129" s="180" t="str">
        <f t="shared" ref="B129:AE129" si="171">+B111</f>
        <v>2020-21</v>
      </c>
      <c r="C129" s="180" t="str">
        <f t="shared" si="171"/>
        <v>2021-22</v>
      </c>
      <c r="D129" s="180" t="str">
        <f t="shared" si="171"/>
        <v>2022-23</v>
      </c>
      <c r="E129" s="180" t="str">
        <f t="shared" si="171"/>
        <v>2023-24</v>
      </c>
      <c r="F129" s="180" t="str">
        <f t="shared" si="171"/>
        <v>2024-25</v>
      </c>
      <c r="G129" s="180" t="str">
        <f t="shared" si="171"/>
        <v>2025-26</v>
      </c>
      <c r="H129" s="180" t="str">
        <f t="shared" si="171"/>
        <v>2026-27</v>
      </c>
      <c r="I129" s="180" t="str">
        <f t="shared" si="171"/>
        <v>2027-28</v>
      </c>
      <c r="J129" s="180" t="str">
        <f t="shared" si="171"/>
        <v>2028-29</v>
      </c>
      <c r="K129" s="180" t="str">
        <f t="shared" si="171"/>
        <v>2029-30</v>
      </c>
      <c r="L129" s="180" t="str">
        <f t="shared" si="171"/>
        <v>2030-31</v>
      </c>
      <c r="M129" s="180" t="str">
        <f t="shared" si="171"/>
        <v>2031-32</v>
      </c>
      <c r="N129" s="180" t="str">
        <f t="shared" si="171"/>
        <v>2032-33</v>
      </c>
      <c r="O129" s="180" t="str">
        <f t="shared" si="171"/>
        <v>2033-34</v>
      </c>
      <c r="P129" s="180" t="str">
        <f t="shared" si="171"/>
        <v>2034-35</v>
      </c>
      <c r="Q129" s="180" t="str">
        <f t="shared" si="171"/>
        <v>2035-36</v>
      </c>
      <c r="R129" s="180" t="str">
        <f t="shared" si="171"/>
        <v>2036-37</v>
      </c>
      <c r="S129" s="180" t="str">
        <f t="shared" si="171"/>
        <v>2037-38</v>
      </c>
      <c r="T129" s="180" t="str">
        <f t="shared" si="171"/>
        <v>2038-39</v>
      </c>
      <c r="U129" s="180" t="str">
        <f t="shared" si="171"/>
        <v>2039-40</v>
      </c>
      <c r="V129" s="180" t="str">
        <f t="shared" si="171"/>
        <v>2040-41</v>
      </c>
      <c r="W129" s="180" t="str">
        <f t="shared" si="171"/>
        <v>2041-42</v>
      </c>
      <c r="X129" s="180" t="str">
        <f t="shared" si="171"/>
        <v>2042-43</v>
      </c>
      <c r="Y129" s="180" t="str">
        <f t="shared" si="171"/>
        <v>2043-44</v>
      </c>
      <c r="Z129" s="180" t="str">
        <f t="shared" si="171"/>
        <v>2044-45</v>
      </c>
      <c r="AA129" s="180" t="str">
        <f t="shared" si="171"/>
        <v>2045-46</v>
      </c>
      <c r="AB129" s="180" t="str">
        <f t="shared" si="171"/>
        <v>2046-47</v>
      </c>
      <c r="AC129" s="180" t="str">
        <f t="shared" si="171"/>
        <v>2047-48</v>
      </c>
      <c r="AD129" s="180" t="str">
        <f t="shared" si="171"/>
        <v>2048-49</v>
      </c>
      <c r="AE129" s="230" t="str">
        <f t="shared" si="171"/>
        <v>2049-50</v>
      </c>
    </row>
    <row r="130" spans="1:31" x14ac:dyDescent="0.25">
      <c r="A130" s="191"/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3"/>
    </row>
    <row r="131" spans="1:31" x14ac:dyDescent="0.25">
      <c r="A131" s="191" t="s">
        <v>136</v>
      </c>
      <c r="B131" s="192">
        <f t="shared" ref="B131:AE131" si="172">+B30</f>
        <v>0</v>
      </c>
      <c r="C131" s="192">
        <f t="shared" si="172"/>
        <v>-0.23611910969721872</v>
      </c>
      <c r="D131" s="192">
        <f t="shared" si="172"/>
        <v>-1.0456408443524881</v>
      </c>
      <c r="E131" s="192">
        <f t="shared" si="172"/>
        <v>-1.2969991940557226</v>
      </c>
      <c r="F131" s="192">
        <f t="shared" si="172"/>
        <v>5.0948528121496022</v>
      </c>
      <c r="G131" s="192">
        <f t="shared" si="172"/>
        <v>60.471544077345627</v>
      </c>
      <c r="H131" s="192">
        <f t="shared" si="172"/>
        <v>-25.961355011621798</v>
      </c>
      <c r="I131" s="192">
        <f t="shared" si="172"/>
        <v>55.023843965416056</v>
      </c>
      <c r="J131" s="192">
        <f t="shared" si="172"/>
        <v>94.134920377789285</v>
      </c>
      <c r="K131" s="192">
        <f t="shared" si="172"/>
        <v>86.518121392337122</v>
      </c>
      <c r="L131" s="192">
        <f t="shared" si="172"/>
        <v>84.550538086650619</v>
      </c>
      <c r="M131" s="192">
        <f t="shared" si="172"/>
        <v>94.547541473953572</v>
      </c>
      <c r="N131" s="192">
        <f t="shared" si="172"/>
        <v>180.01529441471499</v>
      </c>
      <c r="O131" s="192">
        <f t="shared" si="172"/>
        <v>176.43786328526335</v>
      </c>
      <c r="P131" s="192">
        <f t="shared" si="172"/>
        <v>204.40848909116025</v>
      </c>
      <c r="Q131" s="192">
        <f t="shared" si="172"/>
        <v>224.61470760175149</v>
      </c>
      <c r="R131" s="192">
        <f t="shared" si="172"/>
        <v>229.88113148267689</v>
      </c>
      <c r="S131" s="192">
        <f t="shared" si="172"/>
        <v>340.26611669017365</v>
      </c>
      <c r="T131" s="192">
        <f t="shared" si="172"/>
        <v>295.8198442434379</v>
      </c>
      <c r="U131" s="192">
        <f t="shared" si="172"/>
        <v>324.23346851396883</v>
      </c>
      <c r="V131" s="192">
        <f t="shared" si="172"/>
        <v>349.68368224325587</v>
      </c>
      <c r="W131" s="192">
        <f t="shared" si="172"/>
        <v>347.92699635631237</v>
      </c>
      <c r="X131" s="192">
        <f t="shared" si="172"/>
        <v>382.08350971298705</v>
      </c>
      <c r="Y131" s="192">
        <f t="shared" si="172"/>
        <v>382.32269379172914</v>
      </c>
      <c r="Z131" s="192">
        <f t="shared" si="172"/>
        <v>363.28845925676524</v>
      </c>
      <c r="AA131" s="192">
        <f t="shared" si="172"/>
        <v>359.97897538432693</v>
      </c>
      <c r="AB131" s="192">
        <f t="shared" si="172"/>
        <v>381.68966026617221</v>
      </c>
      <c r="AC131" s="192">
        <f t="shared" si="172"/>
        <v>389.00325343462413</v>
      </c>
      <c r="AD131" s="192">
        <f t="shared" si="172"/>
        <v>442.47707751388327</v>
      </c>
      <c r="AE131" s="193">
        <f t="shared" si="172"/>
        <v>435.89218208368618</v>
      </c>
    </row>
    <row r="132" spans="1:31" x14ac:dyDescent="0.25">
      <c r="A132" s="194" t="s">
        <v>137</v>
      </c>
      <c r="B132" s="158">
        <v>0</v>
      </c>
      <c r="C132" s="158">
        <v>0</v>
      </c>
      <c r="D132" s="158">
        <v>0</v>
      </c>
      <c r="E132" s="158">
        <v>0</v>
      </c>
      <c r="F132" s="158">
        <v>0</v>
      </c>
      <c r="G132" s="158">
        <v>0</v>
      </c>
      <c r="H132" s="158">
        <v>0</v>
      </c>
      <c r="I132" s="158">
        <v>0</v>
      </c>
      <c r="J132" s="158">
        <v>0</v>
      </c>
      <c r="K132" s="158">
        <v>0</v>
      </c>
      <c r="L132" s="158">
        <v>0</v>
      </c>
      <c r="M132" s="158">
        <v>0</v>
      </c>
      <c r="N132" s="158">
        <v>0</v>
      </c>
      <c r="O132" s="158">
        <v>0</v>
      </c>
      <c r="P132" s="158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58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95">
        <f>+PV(NotSlowWACC,(40-SUM(I$110:AE$110)),AVERAGE(Y131:AC131))*-1</f>
        <v>4294.581032186813</v>
      </c>
    </row>
    <row r="133" spans="1:31" x14ac:dyDescent="0.25">
      <c r="A133" s="185" t="s">
        <v>138</v>
      </c>
      <c r="B133" s="192">
        <f>SUM(B131:B132)</f>
        <v>0</v>
      </c>
      <c r="C133" s="192">
        <f t="shared" ref="C133" si="173">SUM(C131:C132)</f>
        <v>-0.23611910969721872</v>
      </c>
      <c r="D133" s="192">
        <f t="shared" ref="D133" si="174">SUM(D131:D132)</f>
        <v>-1.0456408443524881</v>
      </c>
      <c r="E133" s="192">
        <f t="shared" ref="E133" si="175">SUM(E131:E132)</f>
        <v>-1.2969991940557226</v>
      </c>
      <c r="F133" s="192">
        <f t="shared" ref="F133" si="176">SUM(F131:F132)</f>
        <v>5.0948528121496022</v>
      </c>
      <c r="G133" s="192">
        <f t="shared" ref="G133" si="177">SUM(G131:G132)</f>
        <v>60.471544077345627</v>
      </c>
      <c r="H133" s="192">
        <f t="shared" ref="H133" si="178">SUM(H131:H132)</f>
        <v>-25.961355011621798</v>
      </c>
      <c r="I133" s="192">
        <f t="shared" ref="I133" si="179">SUM(I131:I132)</f>
        <v>55.023843965416056</v>
      </c>
      <c r="J133" s="192">
        <f t="shared" ref="J133" si="180">SUM(J131:J132)</f>
        <v>94.134920377789285</v>
      </c>
      <c r="K133" s="192">
        <f t="shared" ref="K133" si="181">SUM(K131:K132)</f>
        <v>86.518121392337122</v>
      </c>
      <c r="L133" s="192">
        <f t="shared" ref="L133" si="182">SUM(L131:L132)</f>
        <v>84.550538086650619</v>
      </c>
      <c r="M133" s="192">
        <f t="shared" ref="M133" si="183">SUM(M131:M132)</f>
        <v>94.547541473953572</v>
      </c>
      <c r="N133" s="192">
        <f t="shared" ref="N133" si="184">SUM(N131:N132)</f>
        <v>180.01529441471499</v>
      </c>
      <c r="O133" s="192">
        <f t="shared" ref="O133" si="185">SUM(O131:O132)</f>
        <v>176.43786328526335</v>
      </c>
      <c r="P133" s="192">
        <f t="shared" ref="P133" si="186">SUM(P131:P132)</f>
        <v>204.40848909116025</v>
      </c>
      <c r="Q133" s="192">
        <f t="shared" ref="Q133" si="187">SUM(Q131:Q132)</f>
        <v>224.61470760175149</v>
      </c>
      <c r="R133" s="192">
        <f t="shared" ref="R133" si="188">SUM(R131:R132)</f>
        <v>229.88113148267689</v>
      </c>
      <c r="S133" s="192">
        <f t="shared" ref="S133" si="189">SUM(S131:S132)</f>
        <v>340.26611669017365</v>
      </c>
      <c r="T133" s="192">
        <f t="shared" ref="T133" si="190">SUM(T131:T132)</f>
        <v>295.8198442434379</v>
      </c>
      <c r="U133" s="192">
        <f t="shared" ref="U133" si="191">SUM(U131:U132)</f>
        <v>324.23346851396883</v>
      </c>
      <c r="V133" s="192">
        <f t="shared" ref="V133" si="192">SUM(V131:V132)</f>
        <v>349.68368224325587</v>
      </c>
      <c r="W133" s="192">
        <f t="shared" ref="W133" si="193">SUM(W131:W132)</f>
        <v>347.92699635631237</v>
      </c>
      <c r="X133" s="192">
        <f t="shared" ref="X133" si="194">SUM(X131:X132)</f>
        <v>382.08350971298705</v>
      </c>
      <c r="Y133" s="192">
        <f t="shared" ref="Y133" si="195">SUM(Y131:Y132)</f>
        <v>382.32269379172914</v>
      </c>
      <c r="Z133" s="192">
        <f t="shared" ref="Z133" si="196">SUM(Z131:Z132)</f>
        <v>363.28845925676524</v>
      </c>
      <c r="AA133" s="192">
        <f t="shared" ref="AA133" si="197">SUM(AA131:AA132)</f>
        <v>359.97897538432693</v>
      </c>
      <c r="AB133" s="192">
        <f t="shared" ref="AB133" si="198">SUM(AB131:AB132)</f>
        <v>381.68966026617221</v>
      </c>
      <c r="AC133" s="192">
        <f t="shared" ref="AC133" si="199">SUM(AC131:AC132)</f>
        <v>389.00325343462413</v>
      </c>
      <c r="AD133" s="192">
        <f t="shared" ref="AD133" si="200">SUM(AD131:AD132)</f>
        <v>442.47707751388327</v>
      </c>
      <c r="AE133" s="193">
        <f t="shared" ref="AE133" si="201">SUM(AE131:AE132)</f>
        <v>4730.4732142704988</v>
      </c>
    </row>
    <row r="134" spans="1:31" x14ac:dyDescent="0.25">
      <c r="A134" s="185"/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3"/>
    </row>
    <row r="135" spans="1:31" x14ac:dyDescent="0.25">
      <c r="A135" s="185" t="s">
        <v>139</v>
      </c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3"/>
    </row>
    <row r="136" spans="1:31" x14ac:dyDescent="0.25">
      <c r="A136" s="185" t="s">
        <v>140</v>
      </c>
      <c r="B136" s="192">
        <v>0</v>
      </c>
      <c r="C136" s="192">
        <v>0</v>
      </c>
      <c r="D136" s="192">
        <v>0</v>
      </c>
      <c r="E136" s="192">
        <v>0</v>
      </c>
      <c r="F136" s="192">
        <v>0</v>
      </c>
      <c r="G136" s="192">
        <v>0</v>
      </c>
      <c r="H136" s="192">
        <v>0</v>
      </c>
      <c r="I136" s="192">
        <v>0</v>
      </c>
      <c r="J136" s="192">
        <v>0</v>
      </c>
      <c r="K136" s="192">
        <v>0</v>
      </c>
      <c r="L136" s="192">
        <v>0</v>
      </c>
      <c r="M136" s="192">
        <v>0</v>
      </c>
      <c r="N136" s="192">
        <v>0</v>
      </c>
      <c r="O136" s="192">
        <v>0</v>
      </c>
      <c r="P136" s="192">
        <v>0</v>
      </c>
      <c r="Q136" s="192">
        <v>0</v>
      </c>
      <c r="R136" s="192">
        <v>0</v>
      </c>
      <c r="S136" s="192">
        <v>0</v>
      </c>
      <c r="T136" s="192">
        <v>0</v>
      </c>
      <c r="U136" s="192">
        <v>0</v>
      </c>
      <c r="V136" s="192">
        <v>0</v>
      </c>
      <c r="W136" s="192">
        <v>0</v>
      </c>
      <c r="X136" s="192">
        <v>0</v>
      </c>
      <c r="Y136" s="192">
        <v>0</v>
      </c>
      <c r="Z136" s="192">
        <v>0</v>
      </c>
      <c r="AA136" s="192">
        <v>0</v>
      </c>
      <c r="AB136" s="192">
        <v>0</v>
      </c>
      <c r="AC136" s="192">
        <v>0</v>
      </c>
      <c r="AD136" s="192">
        <v>0</v>
      </c>
      <c r="AE136" s="193">
        <f>+PV(NotSlowWACC,40-SUM(I128:AE128),AVERAGE(AA92:AE92))*-1</f>
        <v>264.81285699493606</v>
      </c>
    </row>
    <row r="137" spans="1:31" x14ac:dyDescent="0.25">
      <c r="A137" s="231" t="s">
        <v>141</v>
      </c>
      <c r="B137" s="158">
        <v>0</v>
      </c>
      <c r="C137" s="158">
        <v>0</v>
      </c>
      <c r="D137" s="158">
        <v>0</v>
      </c>
      <c r="E137" s="158">
        <v>0</v>
      </c>
      <c r="F137" s="158">
        <v>0</v>
      </c>
      <c r="G137" s="158">
        <v>0</v>
      </c>
      <c r="H137" s="158">
        <v>0</v>
      </c>
      <c r="I137" s="158">
        <v>0</v>
      </c>
      <c r="J137" s="158">
        <v>0</v>
      </c>
      <c r="K137" s="158">
        <v>0</v>
      </c>
      <c r="L137" s="158">
        <v>0</v>
      </c>
      <c r="M137" s="158">
        <v>0</v>
      </c>
      <c r="N137" s="158">
        <v>0</v>
      </c>
      <c r="O137" s="158">
        <v>0</v>
      </c>
      <c r="P137" s="158">
        <v>0</v>
      </c>
      <c r="Q137" s="158">
        <v>0</v>
      </c>
      <c r="R137" s="158">
        <v>0</v>
      </c>
      <c r="S137" s="158">
        <v>0</v>
      </c>
      <c r="T137" s="158">
        <v>0</v>
      </c>
      <c r="U137" s="158">
        <v>0</v>
      </c>
      <c r="V137" s="158">
        <v>0</v>
      </c>
      <c r="W137" s="158">
        <v>0</v>
      </c>
      <c r="X137" s="158">
        <v>0</v>
      </c>
      <c r="Y137" s="158">
        <v>0</v>
      </c>
      <c r="Z137" s="158">
        <v>0</v>
      </c>
      <c r="AA137" s="158">
        <v>0</v>
      </c>
      <c r="AB137" s="158">
        <v>0</v>
      </c>
      <c r="AC137" s="158">
        <v>0</v>
      </c>
      <c r="AD137" s="158">
        <v>0</v>
      </c>
      <c r="AE137" s="195">
        <f>+PV(NotSlowWACC,40-SUM(I128:AE128),AVERAGE(AA93:AE93))*-1</f>
        <v>51.830892522940481</v>
      </c>
    </row>
    <row r="138" spans="1:31" x14ac:dyDescent="0.25">
      <c r="A138" s="185" t="s">
        <v>144</v>
      </c>
      <c r="B138" s="232">
        <f>+SUM(B136:B137)</f>
        <v>0</v>
      </c>
      <c r="C138" s="232">
        <f t="shared" ref="C138" si="202">+SUM(C136:C137)</f>
        <v>0</v>
      </c>
      <c r="D138" s="232">
        <f t="shared" ref="D138" si="203">+SUM(D136:D137)</f>
        <v>0</v>
      </c>
      <c r="E138" s="232">
        <f t="shared" ref="E138" si="204">+SUM(E136:E137)</f>
        <v>0</v>
      </c>
      <c r="F138" s="232">
        <f t="shared" ref="F138" si="205">+SUM(F136:F137)</f>
        <v>0</v>
      </c>
      <c r="G138" s="232">
        <f t="shared" ref="G138" si="206">+SUM(G136:G137)</f>
        <v>0</v>
      </c>
      <c r="H138" s="232">
        <f t="shared" ref="H138" si="207">+SUM(H136:H137)</f>
        <v>0</v>
      </c>
      <c r="I138" s="232">
        <f t="shared" ref="I138" si="208">+SUM(I136:I137)</f>
        <v>0</v>
      </c>
      <c r="J138" s="232">
        <f t="shared" ref="J138" si="209">+SUM(J136:J137)</f>
        <v>0</v>
      </c>
      <c r="K138" s="232">
        <f t="shared" ref="K138" si="210">+SUM(K136:K137)</f>
        <v>0</v>
      </c>
      <c r="L138" s="232">
        <f t="shared" ref="L138" si="211">+SUM(L136:L137)</f>
        <v>0</v>
      </c>
      <c r="M138" s="232">
        <f t="shared" ref="M138" si="212">+SUM(M136:M137)</f>
        <v>0</v>
      </c>
      <c r="N138" s="232">
        <f t="shared" ref="N138" si="213">+SUM(N136:N137)</f>
        <v>0</v>
      </c>
      <c r="O138" s="232">
        <f t="shared" ref="O138" si="214">+SUM(O136:O137)</f>
        <v>0</v>
      </c>
      <c r="P138" s="232">
        <f t="shared" ref="P138" si="215">+SUM(P136:P137)</f>
        <v>0</v>
      </c>
      <c r="Q138" s="232">
        <f t="shared" ref="Q138" si="216">+SUM(Q136:Q137)</f>
        <v>0</v>
      </c>
      <c r="R138" s="232">
        <f t="shared" ref="R138" si="217">+SUM(R136:R137)</f>
        <v>0</v>
      </c>
      <c r="S138" s="232">
        <f t="shared" ref="S138" si="218">+SUM(S136:S137)</f>
        <v>0</v>
      </c>
      <c r="T138" s="232">
        <f t="shared" ref="T138" si="219">+SUM(T136:T137)</f>
        <v>0</v>
      </c>
      <c r="U138" s="232">
        <f t="shared" ref="U138" si="220">+SUM(U136:U137)</f>
        <v>0</v>
      </c>
      <c r="V138" s="232">
        <f t="shared" ref="V138" si="221">+SUM(V136:V137)</f>
        <v>0</v>
      </c>
      <c r="W138" s="232">
        <f t="shared" ref="W138" si="222">+SUM(W136:W137)</f>
        <v>0</v>
      </c>
      <c r="X138" s="232">
        <f t="shared" ref="X138" si="223">+SUM(X136:X137)</f>
        <v>0</v>
      </c>
      <c r="Y138" s="232">
        <f t="shared" ref="Y138" si="224">+SUM(Y136:Y137)</f>
        <v>0</v>
      </c>
      <c r="Z138" s="232">
        <f t="shared" ref="Z138" si="225">+SUM(Z136:Z137)</f>
        <v>0</v>
      </c>
      <c r="AA138" s="232">
        <f t="shared" ref="AA138" si="226">+SUM(AA136:AA137)</f>
        <v>0</v>
      </c>
      <c r="AB138" s="232">
        <f t="shared" ref="AB138" si="227">+SUM(AB136:AB137)</f>
        <v>0</v>
      </c>
      <c r="AC138" s="232">
        <f t="shared" ref="AC138" si="228">+SUM(AC136:AC137)</f>
        <v>0</v>
      </c>
      <c r="AD138" s="232">
        <f t="shared" ref="AD138" si="229">+SUM(AD136:AD137)</f>
        <v>0</v>
      </c>
      <c r="AE138" s="233">
        <f t="shared" ref="AE138" si="230">+SUM(AE136:AE137)</f>
        <v>316.64374951787653</v>
      </c>
    </row>
    <row r="139" spans="1:31" x14ac:dyDescent="0.25">
      <c r="A139" s="185"/>
      <c r="B139" s="184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3"/>
    </row>
    <row r="140" spans="1:31" x14ac:dyDescent="0.25">
      <c r="A140" s="185" t="s">
        <v>118</v>
      </c>
      <c r="B140" s="196">
        <f>XNPV(NotSlowWACC,B133:AE133,$B$10:$AE$10)</f>
        <v>3554.7730315188883</v>
      </c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63"/>
    </row>
    <row r="141" spans="1:31" ht="15.75" thickBot="1" x14ac:dyDescent="0.3">
      <c r="A141" s="234" t="s">
        <v>117</v>
      </c>
      <c r="B141" s="186">
        <f>B99+XNPV(NotSlowWACC,$B$138:$AE$138,$B$10:$AE$10)</f>
        <v>1571.8058788849773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63"/>
    </row>
    <row r="142" spans="1:31" ht="15.75" thickTop="1" x14ac:dyDescent="0.25">
      <c r="A142" s="164" t="s">
        <v>119</v>
      </c>
      <c r="B142" s="196">
        <f>+B140-B141</f>
        <v>1982.9671526339109</v>
      </c>
      <c r="C142" s="184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63"/>
    </row>
    <row r="143" spans="1:31" ht="15.75" thickBot="1" x14ac:dyDescent="0.3">
      <c r="A143" s="164"/>
      <c r="B143" s="196"/>
      <c r="C143" s="184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63"/>
    </row>
    <row r="144" spans="1:31" ht="15.75" thickTop="1" x14ac:dyDescent="0.25">
      <c r="A144" s="223" t="str">
        <f>+A36</f>
        <v xml:space="preserve">Option 1:  600 MW in 2027 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224"/>
    </row>
    <row r="145" spans="1:31" x14ac:dyDescent="0.25">
      <c r="A145" s="225" t="str">
        <f>+A37</f>
        <v xml:space="preserve">Scenario: </v>
      </c>
      <c r="B145" s="74" t="str">
        <f>+B37</f>
        <v>High DER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226"/>
    </row>
    <row r="146" spans="1:31" x14ac:dyDescent="0.25">
      <c r="A146" s="185"/>
      <c r="B146" s="189">
        <v>1</v>
      </c>
      <c r="C146" s="189">
        <v>1</v>
      </c>
      <c r="D146" s="189">
        <v>1</v>
      </c>
      <c r="E146" s="189">
        <v>1</v>
      </c>
      <c r="F146" s="189">
        <v>1</v>
      </c>
      <c r="G146" s="189">
        <v>1</v>
      </c>
      <c r="H146" s="189">
        <v>1</v>
      </c>
      <c r="I146" s="189">
        <v>1</v>
      </c>
      <c r="J146" s="189">
        <v>1</v>
      </c>
      <c r="K146" s="189">
        <v>1</v>
      </c>
      <c r="L146" s="189">
        <v>1</v>
      </c>
      <c r="M146" s="189">
        <v>1</v>
      </c>
      <c r="N146" s="189">
        <v>1</v>
      </c>
      <c r="O146" s="189">
        <v>1</v>
      </c>
      <c r="P146" s="189">
        <v>1</v>
      </c>
      <c r="Q146" s="189">
        <v>1</v>
      </c>
      <c r="R146" s="189">
        <v>1</v>
      </c>
      <c r="S146" s="189">
        <v>1</v>
      </c>
      <c r="T146" s="189">
        <v>1</v>
      </c>
      <c r="U146" s="189">
        <v>1</v>
      </c>
      <c r="V146" s="189">
        <v>1</v>
      </c>
      <c r="W146" s="189">
        <v>1</v>
      </c>
      <c r="X146" s="189">
        <v>1</v>
      </c>
      <c r="Y146" s="189">
        <v>1</v>
      </c>
      <c r="Z146" s="189">
        <v>1</v>
      </c>
      <c r="AA146" s="189">
        <v>1</v>
      </c>
      <c r="AB146" s="189">
        <v>1</v>
      </c>
      <c r="AC146" s="189">
        <v>1</v>
      </c>
      <c r="AD146" s="189">
        <v>1</v>
      </c>
      <c r="AE146" s="190">
        <v>1</v>
      </c>
    </row>
    <row r="147" spans="1:31" x14ac:dyDescent="0.25">
      <c r="A147" s="229" t="s">
        <v>39</v>
      </c>
      <c r="B147" s="180" t="str">
        <f>+B129</f>
        <v>2020-21</v>
      </c>
      <c r="C147" s="180" t="str">
        <f t="shared" ref="C147:AE147" si="231">+C129</f>
        <v>2021-22</v>
      </c>
      <c r="D147" s="180" t="str">
        <f t="shared" si="231"/>
        <v>2022-23</v>
      </c>
      <c r="E147" s="180" t="str">
        <f t="shared" si="231"/>
        <v>2023-24</v>
      </c>
      <c r="F147" s="180" t="str">
        <f t="shared" si="231"/>
        <v>2024-25</v>
      </c>
      <c r="G147" s="180" t="str">
        <f t="shared" si="231"/>
        <v>2025-26</v>
      </c>
      <c r="H147" s="180" t="str">
        <f t="shared" si="231"/>
        <v>2026-27</v>
      </c>
      <c r="I147" s="180" t="str">
        <f t="shared" si="231"/>
        <v>2027-28</v>
      </c>
      <c r="J147" s="180" t="str">
        <f t="shared" si="231"/>
        <v>2028-29</v>
      </c>
      <c r="K147" s="180" t="str">
        <f t="shared" si="231"/>
        <v>2029-30</v>
      </c>
      <c r="L147" s="180" t="str">
        <f t="shared" si="231"/>
        <v>2030-31</v>
      </c>
      <c r="M147" s="180" t="str">
        <f t="shared" si="231"/>
        <v>2031-32</v>
      </c>
      <c r="N147" s="180" t="str">
        <f t="shared" si="231"/>
        <v>2032-33</v>
      </c>
      <c r="O147" s="180" t="str">
        <f t="shared" si="231"/>
        <v>2033-34</v>
      </c>
      <c r="P147" s="180" t="str">
        <f t="shared" si="231"/>
        <v>2034-35</v>
      </c>
      <c r="Q147" s="180" t="str">
        <f t="shared" si="231"/>
        <v>2035-36</v>
      </c>
      <c r="R147" s="180" t="str">
        <f t="shared" si="231"/>
        <v>2036-37</v>
      </c>
      <c r="S147" s="180" t="str">
        <f t="shared" si="231"/>
        <v>2037-38</v>
      </c>
      <c r="T147" s="180" t="str">
        <f t="shared" si="231"/>
        <v>2038-39</v>
      </c>
      <c r="U147" s="180" t="str">
        <f t="shared" si="231"/>
        <v>2039-40</v>
      </c>
      <c r="V147" s="180" t="str">
        <f t="shared" si="231"/>
        <v>2040-41</v>
      </c>
      <c r="W147" s="180" t="str">
        <f t="shared" si="231"/>
        <v>2041-42</v>
      </c>
      <c r="X147" s="180" t="str">
        <f t="shared" si="231"/>
        <v>2042-43</v>
      </c>
      <c r="Y147" s="180" t="str">
        <f t="shared" si="231"/>
        <v>2043-44</v>
      </c>
      <c r="Z147" s="180" t="str">
        <f t="shared" si="231"/>
        <v>2044-45</v>
      </c>
      <c r="AA147" s="180" t="str">
        <f t="shared" si="231"/>
        <v>2045-46</v>
      </c>
      <c r="AB147" s="180" t="str">
        <f t="shared" si="231"/>
        <v>2046-47</v>
      </c>
      <c r="AC147" s="180" t="str">
        <f t="shared" si="231"/>
        <v>2047-48</v>
      </c>
      <c r="AD147" s="180" t="str">
        <f t="shared" si="231"/>
        <v>2048-49</v>
      </c>
      <c r="AE147" s="230" t="str">
        <f t="shared" si="231"/>
        <v>2049-50</v>
      </c>
    </row>
    <row r="148" spans="1:31" x14ac:dyDescent="0.25">
      <c r="A148" s="191"/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  <c r="AA148" s="192"/>
      <c r="AB148" s="192"/>
      <c r="AC148" s="192"/>
      <c r="AD148" s="192"/>
      <c r="AE148" s="193"/>
    </row>
    <row r="149" spans="1:31" x14ac:dyDescent="0.25">
      <c r="A149" s="191" t="s">
        <v>136</v>
      </c>
      <c r="B149" s="192">
        <f t="shared" ref="B149:AE149" si="232">+B45</f>
        <v>0</v>
      </c>
      <c r="C149" s="192">
        <f t="shared" si="232"/>
        <v>-0.33093511075293697</v>
      </c>
      <c r="D149" s="192">
        <f t="shared" si="232"/>
        <v>-0.88500326858139844</v>
      </c>
      <c r="E149" s="192">
        <f t="shared" si="232"/>
        <v>-1.5497090907882405</v>
      </c>
      <c r="F149" s="192">
        <f t="shared" si="232"/>
        <v>8.6054101522192621</v>
      </c>
      <c r="G149" s="192">
        <f t="shared" si="232"/>
        <v>95.752658332317026</v>
      </c>
      <c r="H149" s="192">
        <f t="shared" si="232"/>
        <v>-30.607132378602401</v>
      </c>
      <c r="I149" s="192">
        <f t="shared" si="232"/>
        <v>55.688737749285217</v>
      </c>
      <c r="J149" s="192">
        <f t="shared" si="232"/>
        <v>99.337884556791266</v>
      </c>
      <c r="K149" s="192">
        <f t="shared" si="232"/>
        <v>87.486022404053557</v>
      </c>
      <c r="L149" s="192">
        <f t="shared" si="232"/>
        <v>86.098156207052284</v>
      </c>
      <c r="M149" s="192">
        <f t="shared" si="232"/>
        <v>104.52619381232677</v>
      </c>
      <c r="N149" s="192">
        <f t="shared" si="232"/>
        <v>171.14797001844954</v>
      </c>
      <c r="O149" s="192">
        <f t="shared" si="232"/>
        <v>168.80099636410694</v>
      </c>
      <c r="P149" s="192">
        <f t="shared" si="232"/>
        <v>196.68465438006703</v>
      </c>
      <c r="Q149" s="192">
        <f t="shared" si="232"/>
        <v>219.78194064336509</v>
      </c>
      <c r="R149" s="192">
        <f t="shared" si="232"/>
        <v>239.02949491767419</v>
      </c>
      <c r="S149" s="192">
        <f t="shared" si="232"/>
        <v>318.41229540704518</v>
      </c>
      <c r="T149" s="192">
        <f t="shared" si="232"/>
        <v>287.97901317685847</v>
      </c>
      <c r="U149" s="192">
        <f t="shared" si="232"/>
        <v>310.65118415302948</v>
      </c>
      <c r="V149" s="192">
        <f t="shared" si="232"/>
        <v>340.89288210949019</v>
      </c>
      <c r="W149" s="192">
        <f t="shared" si="232"/>
        <v>359.44113586841854</v>
      </c>
      <c r="X149" s="192">
        <f t="shared" si="232"/>
        <v>374.92279328684566</v>
      </c>
      <c r="Y149" s="192">
        <f t="shared" si="232"/>
        <v>374.98221176017307</v>
      </c>
      <c r="Z149" s="192">
        <f t="shared" si="232"/>
        <v>364.23855663177545</v>
      </c>
      <c r="AA149" s="192">
        <f t="shared" si="232"/>
        <v>353.92561427815616</v>
      </c>
      <c r="AB149" s="192">
        <f t="shared" si="232"/>
        <v>392.2104352957445</v>
      </c>
      <c r="AC149" s="192">
        <f t="shared" si="232"/>
        <v>392.08425164841458</v>
      </c>
      <c r="AD149" s="192">
        <f t="shared" si="232"/>
        <v>427.65719215218417</v>
      </c>
      <c r="AE149" s="193">
        <f t="shared" si="232"/>
        <v>411.02558851778377</v>
      </c>
    </row>
    <row r="150" spans="1:31" x14ac:dyDescent="0.25">
      <c r="A150" s="194" t="s">
        <v>137</v>
      </c>
      <c r="B150" s="158">
        <v>0</v>
      </c>
      <c r="C150" s="158">
        <v>0</v>
      </c>
      <c r="D150" s="158">
        <v>0</v>
      </c>
      <c r="E150" s="158">
        <v>0</v>
      </c>
      <c r="F150" s="158">
        <v>0</v>
      </c>
      <c r="G150" s="158">
        <v>0</v>
      </c>
      <c r="H150" s="158">
        <v>0</v>
      </c>
      <c r="I150" s="158">
        <v>0</v>
      </c>
      <c r="J150" s="158">
        <v>0</v>
      </c>
      <c r="K150" s="158">
        <v>0</v>
      </c>
      <c r="L150" s="158">
        <v>0</v>
      </c>
      <c r="M150" s="158">
        <v>0</v>
      </c>
      <c r="N150" s="158">
        <v>0</v>
      </c>
      <c r="O150" s="158">
        <v>0</v>
      </c>
      <c r="P150" s="158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58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95">
        <f>+PV(NotSlowWACC,(40-SUM(I$110:AE$110)),AVERAGE(Y149:AC149))*-1</f>
        <v>4297.2316146103885</v>
      </c>
    </row>
    <row r="151" spans="1:31" x14ac:dyDescent="0.25">
      <c r="A151" s="185" t="s">
        <v>138</v>
      </c>
      <c r="B151" s="192">
        <f>SUM(B149:B150)</f>
        <v>0</v>
      </c>
      <c r="C151" s="192">
        <f t="shared" ref="C151" si="233">SUM(C149:C150)</f>
        <v>-0.33093511075293697</v>
      </c>
      <c r="D151" s="192">
        <f t="shared" ref="D151" si="234">SUM(D149:D150)</f>
        <v>-0.88500326858139844</v>
      </c>
      <c r="E151" s="192">
        <f t="shared" ref="E151" si="235">SUM(E149:E150)</f>
        <v>-1.5497090907882405</v>
      </c>
      <c r="F151" s="192">
        <f t="shared" ref="F151" si="236">SUM(F149:F150)</f>
        <v>8.6054101522192621</v>
      </c>
      <c r="G151" s="192">
        <f t="shared" ref="G151" si="237">SUM(G149:G150)</f>
        <v>95.752658332317026</v>
      </c>
      <c r="H151" s="192">
        <f t="shared" ref="H151" si="238">SUM(H149:H150)</f>
        <v>-30.607132378602401</v>
      </c>
      <c r="I151" s="192">
        <f t="shared" ref="I151" si="239">SUM(I149:I150)</f>
        <v>55.688737749285217</v>
      </c>
      <c r="J151" s="192">
        <f t="shared" ref="J151" si="240">SUM(J149:J150)</f>
        <v>99.337884556791266</v>
      </c>
      <c r="K151" s="192">
        <f t="shared" ref="K151" si="241">SUM(K149:K150)</f>
        <v>87.486022404053557</v>
      </c>
      <c r="L151" s="192">
        <f t="shared" ref="L151" si="242">SUM(L149:L150)</f>
        <v>86.098156207052284</v>
      </c>
      <c r="M151" s="192">
        <f t="shared" ref="M151" si="243">SUM(M149:M150)</f>
        <v>104.52619381232677</v>
      </c>
      <c r="N151" s="192">
        <f t="shared" ref="N151" si="244">SUM(N149:N150)</f>
        <v>171.14797001844954</v>
      </c>
      <c r="O151" s="192">
        <f t="shared" ref="O151" si="245">SUM(O149:O150)</f>
        <v>168.80099636410694</v>
      </c>
      <c r="P151" s="192">
        <f t="shared" ref="P151" si="246">SUM(P149:P150)</f>
        <v>196.68465438006703</v>
      </c>
      <c r="Q151" s="192">
        <f t="shared" ref="Q151" si="247">SUM(Q149:Q150)</f>
        <v>219.78194064336509</v>
      </c>
      <c r="R151" s="192">
        <f t="shared" ref="R151" si="248">SUM(R149:R150)</f>
        <v>239.02949491767419</v>
      </c>
      <c r="S151" s="192">
        <f t="shared" ref="S151" si="249">SUM(S149:S150)</f>
        <v>318.41229540704518</v>
      </c>
      <c r="T151" s="192">
        <f t="shared" ref="T151" si="250">SUM(T149:T150)</f>
        <v>287.97901317685847</v>
      </c>
      <c r="U151" s="192">
        <f t="shared" ref="U151" si="251">SUM(U149:U150)</f>
        <v>310.65118415302948</v>
      </c>
      <c r="V151" s="192">
        <f t="shared" ref="V151" si="252">SUM(V149:V150)</f>
        <v>340.89288210949019</v>
      </c>
      <c r="W151" s="192">
        <f t="shared" ref="W151" si="253">SUM(W149:W150)</f>
        <v>359.44113586841854</v>
      </c>
      <c r="X151" s="192">
        <f t="shared" ref="X151" si="254">SUM(X149:X150)</f>
        <v>374.92279328684566</v>
      </c>
      <c r="Y151" s="192">
        <f t="shared" ref="Y151" si="255">SUM(Y149:Y150)</f>
        <v>374.98221176017307</v>
      </c>
      <c r="Z151" s="192">
        <f t="shared" ref="Z151" si="256">SUM(Z149:Z150)</f>
        <v>364.23855663177545</v>
      </c>
      <c r="AA151" s="192">
        <f t="shared" ref="AA151" si="257">SUM(AA149:AA150)</f>
        <v>353.92561427815616</v>
      </c>
      <c r="AB151" s="192">
        <f t="shared" ref="AB151" si="258">SUM(AB149:AB150)</f>
        <v>392.2104352957445</v>
      </c>
      <c r="AC151" s="192">
        <f t="shared" ref="AC151" si="259">SUM(AC149:AC150)</f>
        <v>392.08425164841458</v>
      </c>
      <c r="AD151" s="192">
        <f t="shared" ref="AD151" si="260">SUM(AD149:AD150)</f>
        <v>427.65719215218417</v>
      </c>
      <c r="AE151" s="193">
        <f t="shared" ref="AE151" si="261">SUM(AE149:AE150)</f>
        <v>4708.2572031281725</v>
      </c>
    </row>
    <row r="152" spans="1:31" x14ac:dyDescent="0.25">
      <c r="A152" s="185"/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  <c r="R152" s="192"/>
      <c r="S152" s="192"/>
      <c r="T152" s="192"/>
      <c r="U152" s="192"/>
      <c r="V152" s="192"/>
      <c r="W152" s="192"/>
      <c r="X152" s="192"/>
      <c r="Y152" s="192"/>
      <c r="Z152" s="192"/>
      <c r="AA152" s="192"/>
      <c r="AB152" s="192"/>
      <c r="AC152" s="192"/>
      <c r="AD152" s="192"/>
      <c r="AE152" s="193"/>
    </row>
    <row r="153" spans="1:31" x14ac:dyDescent="0.25">
      <c r="A153" s="185" t="s">
        <v>118</v>
      </c>
      <c r="B153" s="196">
        <f>XNPV(NotSlowWACC,B151:AE151,$B$10:$AE$10)</f>
        <v>3552.0080366273014</v>
      </c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63"/>
    </row>
    <row r="154" spans="1:31" ht="15.75" thickBot="1" x14ac:dyDescent="0.3">
      <c r="A154" s="234" t="s">
        <v>117</v>
      </c>
      <c r="B154" s="186">
        <f>+B141</f>
        <v>1571.8058788849773</v>
      </c>
      <c r="C154" s="184"/>
      <c r="D154" s="184"/>
      <c r="E154" s="184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84"/>
      <c r="AC154" s="184"/>
      <c r="AD154" s="184"/>
      <c r="AE154" s="163"/>
    </row>
    <row r="155" spans="1:31" ht="15.75" thickTop="1" x14ac:dyDescent="0.25">
      <c r="A155" s="164" t="s">
        <v>119</v>
      </c>
      <c r="B155" s="196">
        <f>+B153-B154</f>
        <v>1980.2021577423241</v>
      </c>
      <c r="C155" s="184"/>
      <c r="D155" s="184"/>
      <c r="E155" s="184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63"/>
    </row>
    <row r="156" spans="1:31" ht="15.75" thickBot="1" x14ac:dyDescent="0.3">
      <c r="A156" s="185"/>
      <c r="B156" s="184"/>
      <c r="C156" s="184"/>
      <c r="D156" s="184"/>
      <c r="E156" s="184"/>
      <c r="F156" s="184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63"/>
    </row>
    <row r="157" spans="1:31" ht="15.75" thickTop="1" x14ac:dyDescent="0.25">
      <c r="A157" s="223" t="str">
        <f>+A51</f>
        <v xml:space="preserve">Option 1:  600 MW in 2027 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224"/>
    </row>
    <row r="158" spans="1:31" x14ac:dyDescent="0.25">
      <c r="A158" s="225" t="str">
        <f>+A52</f>
        <v xml:space="preserve">Scenario: </v>
      </c>
      <c r="B158" s="74" t="str">
        <f>+B52</f>
        <v xml:space="preserve">Fast Change 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226"/>
    </row>
    <row r="159" spans="1:31" x14ac:dyDescent="0.25">
      <c r="A159" s="185"/>
      <c r="B159" s="189">
        <v>1</v>
      </c>
      <c r="C159" s="189">
        <v>1</v>
      </c>
      <c r="D159" s="189">
        <v>1</v>
      </c>
      <c r="E159" s="189">
        <v>1</v>
      </c>
      <c r="F159" s="189">
        <v>1</v>
      </c>
      <c r="G159" s="189">
        <v>1</v>
      </c>
      <c r="H159" s="189">
        <v>1</v>
      </c>
      <c r="I159" s="189">
        <v>1</v>
      </c>
      <c r="J159" s="189">
        <v>1</v>
      </c>
      <c r="K159" s="189">
        <v>1</v>
      </c>
      <c r="L159" s="189">
        <v>1</v>
      </c>
      <c r="M159" s="189">
        <v>1</v>
      </c>
      <c r="N159" s="189">
        <v>1</v>
      </c>
      <c r="O159" s="189">
        <v>1</v>
      </c>
      <c r="P159" s="189">
        <v>1</v>
      </c>
      <c r="Q159" s="189">
        <v>1</v>
      </c>
      <c r="R159" s="189">
        <v>1</v>
      </c>
      <c r="S159" s="189">
        <v>1</v>
      </c>
      <c r="T159" s="189">
        <v>1</v>
      </c>
      <c r="U159" s="189">
        <v>1</v>
      </c>
      <c r="V159" s="189">
        <v>1</v>
      </c>
      <c r="W159" s="189">
        <v>1</v>
      </c>
      <c r="X159" s="189">
        <v>1</v>
      </c>
      <c r="Y159" s="189">
        <v>1</v>
      </c>
      <c r="Z159" s="189">
        <v>1</v>
      </c>
      <c r="AA159" s="189">
        <v>1</v>
      </c>
      <c r="AB159" s="189">
        <v>1</v>
      </c>
      <c r="AC159" s="189">
        <v>1</v>
      </c>
      <c r="AD159" s="189">
        <v>1</v>
      </c>
      <c r="AE159" s="190">
        <v>1</v>
      </c>
    </row>
    <row r="160" spans="1:31" x14ac:dyDescent="0.25">
      <c r="A160" s="229" t="s">
        <v>39</v>
      </c>
      <c r="B160" s="180" t="str">
        <f>+B147</f>
        <v>2020-21</v>
      </c>
      <c r="C160" s="180" t="str">
        <f t="shared" ref="C160:AE160" si="262">+C147</f>
        <v>2021-22</v>
      </c>
      <c r="D160" s="180" t="str">
        <f t="shared" si="262"/>
        <v>2022-23</v>
      </c>
      <c r="E160" s="180" t="str">
        <f t="shared" si="262"/>
        <v>2023-24</v>
      </c>
      <c r="F160" s="180" t="str">
        <f t="shared" si="262"/>
        <v>2024-25</v>
      </c>
      <c r="G160" s="180" t="str">
        <f t="shared" si="262"/>
        <v>2025-26</v>
      </c>
      <c r="H160" s="180" t="str">
        <f t="shared" si="262"/>
        <v>2026-27</v>
      </c>
      <c r="I160" s="180" t="str">
        <f t="shared" si="262"/>
        <v>2027-28</v>
      </c>
      <c r="J160" s="180" t="str">
        <f t="shared" si="262"/>
        <v>2028-29</v>
      </c>
      <c r="K160" s="180" t="str">
        <f t="shared" si="262"/>
        <v>2029-30</v>
      </c>
      <c r="L160" s="180" t="str">
        <f t="shared" si="262"/>
        <v>2030-31</v>
      </c>
      <c r="M160" s="180" t="str">
        <f t="shared" si="262"/>
        <v>2031-32</v>
      </c>
      <c r="N160" s="180" t="str">
        <f t="shared" si="262"/>
        <v>2032-33</v>
      </c>
      <c r="O160" s="180" t="str">
        <f t="shared" si="262"/>
        <v>2033-34</v>
      </c>
      <c r="P160" s="180" t="str">
        <f t="shared" si="262"/>
        <v>2034-35</v>
      </c>
      <c r="Q160" s="180" t="str">
        <f t="shared" si="262"/>
        <v>2035-36</v>
      </c>
      <c r="R160" s="180" t="str">
        <f t="shared" si="262"/>
        <v>2036-37</v>
      </c>
      <c r="S160" s="180" t="str">
        <f t="shared" si="262"/>
        <v>2037-38</v>
      </c>
      <c r="T160" s="180" t="str">
        <f t="shared" si="262"/>
        <v>2038-39</v>
      </c>
      <c r="U160" s="180" t="str">
        <f t="shared" si="262"/>
        <v>2039-40</v>
      </c>
      <c r="V160" s="180" t="str">
        <f t="shared" si="262"/>
        <v>2040-41</v>
      </c>
      <c r="W160" s="180" t="str">
        <f t="shared" si="262"/>
        <v>2041-42</v>
      </c>
      <c r="X160" s="180" t="str">
        <f t="shared" si="262"/>
        <v>2042-43</v>
      </c>
      <c r="Y160" s="180" t="str">
        <f t="shared" si="262"/>
        <v>2043-44</v>
      </c>
      <c r="Z160" s="180" t="str">
        <f t="shared" si="262"/>
        <v>2044-45</v>
      </c>
      <c r="AA160" s="180" t="str">
        <f t="shared" si="262"/>
        <v>2045-46</v>
      </c>
      <c r="AB160" s="180" t="str">
        <f t="shared" si="262"/>
        <v>2046-47</v>
      </c>
      <c r="AC160" s="180" t="str">
        <f t="shared" si="262"/>
        <v>2047-48</v>
      </c>
      <c r="AD160" s="180" t="str">
        <f t="shared" si="262"/>
        <v>2048-49</v>
      </c>
      <c r="AE160" s="230" t="str">
        <f t="shared" si="262"/>
        <v>2049-50</v>
      </c>
    </row>
    <row r="161" spans="1:31" x14ac:dyDescent="0.25">
      <c r="A161" s="191"/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2"/>
      <c r="T161" s="192"/>
      <c r="U161" s="192"/>
      <c r="V161" s="192"/>
      <c r="W161" s="192"/>
      <c r="X161" s="192"/>
      <c r="Y161" s="192"/>
      <c r="Z161" s="192"/>
      <c r="AA161" s="192"/>
      <c r="AB161" s="192"/>
      <c r="AC161" s="192"/>
      <c r="AD161" s="192"/>
      <c r="AE161" s="193"/>
    </row>
    <row r="162" spans="1:31" x14ac:dyDescent="0.25">
      <c r="A162" s="191" t="s">
        <v>136</v>
      </c>
      <c r="B162" s="192">
        <f t="shared" ref="B162:AE162" si="263">+B60</f>
        <v>0</v>
      </c>
      <c r="C162" s="192">
        <f t="shared" si="263"/>
        <v>1.1467245136739499</v>
      </c>
      <c r="D162" s="192">
        <f t="shared" si="263"/>
        <v>1.147703303638862</v>
      </c>
      <c r="E162" s="192">
        <f t="shared" si="263"/>
        <v>0.69565970850585201</v>
      </c>
      <c r="F162" s="192">
        <f t="shared" si="263"/>
        <v>6.8626358632873086E-2</v>
      </c>
      <c r="G162" s="192">
        <f t="shared" si="263"/>
        <v>74.528826833677854</v>
      </c>
      <c r="H162" s="192">
        <f t="shared" si="263"/>
        <v>-39.321956753978533</v>
      </c>
      <c r="I162" s="192">
        <f t="shared" si="263"/>
        <v>72.90686331465416</v>
      </c>
      <c r="J162" s="192">
        <f t="shared" si="263"/>
        <v>112.44218646590235</v>
      </c>
      <c r="K162" s="192">
        <f t="shared" si="263"/>
        <v>87.997331817982513</v>
      </c>
      <c r="L162" s="192">
        <f t="shared" si="263"/>
        <v>89.453748885346158</v>
      </c>
      <c r="M162" s="192">
        <f t="shared" si="263"/>
        <v>106.6984068464902</v>
      </c>
      <c r="N162" s="192">
        <f t="shared" si="263"/>
        <v>193.98966704442529</v>
      </c>
      <c r="O162" s="192">
        <f t="shared" si="263"/>
        <v>194.20420724754194</v>
      </c>
      <c r="P162" s="192">
        <f t="shared" si="263"/>
        <v>228.9937579346456</v>
      </c>
      <c r="Q162" s="192">
        <f t="shared" si="263"/>
        <v>259.65914614499445</v>
      </c>
      <c r="R162" s="192">
        <f t="shared" si="263"/>
        <v>252.9815780054407</v>
      </c>
      <c r="S162" s="192">
        <f t="shared" si="263"/>
        <v>350.18865349696841</v>
      </c>
      <c r="T162" s="192">
        <f t="shared" si="263"/>
        <v>315.67016593001421</v>
      </c>
      <c r="U162" s="192">
        <f t="shared" si="263"/>
        <v>312.90067433591605</v>
      </c>
      <c r="V162" s="192">
        <f t="shared" si="263"/>
        <v>349.35912708186657</v>
      </c>
      <c r="W162" s="192">
        <f t="shared" si="263"/>
        <v>351.09820858611096</v>
      </c>
      <c r="X162" s="192">
        <f t="shared" si="263"/>
        <v>391.95923760996322</v>
      </c>
      <c r="Y162" s="192">
        <f t="shared" si="263"/>
        <v>402.63659977863051</v>
      </c>
      <c r="Z162" s="192">
        <f t="shared" si="263"/>
        <v>388.50486153766246</v>
      </c>
      <c r="AA162" s="192">
        <f t="shared" si="263"/>
        <v>378.70874858271827</v>
      </c>
      <c r="AB162" s="192">
        <f t="shared" si="263"/>
        <v>389.27565226456409</v>
      </c>
      <c r="AC162" s="192">
        <f t="shared" si="263"/>
        <v>403.250042649649</v>
      </c>
      <c r="AD162" s="192">
        <f t="shared" si="263"/>
        <v>450.4089363513192</v>
      </c>
      <c r="AE162" s="193">
        <f t="shared" si="263"/>
        <v>453.88724965138977</v>
      </c>
    </row>
    <row r="163" spans="1:31" x14ac:dyDescent="0.25">
      <c r="A163" s="194" t="s">
        <v>137</v>
      </c>
      <c r="B163" s="158">
        <v>0</v>
      </c>
      <c r="C163" s="158">
        <v>0</v>
      </c>
      <c r="D163" s="158">
        <v>0</v>
      </c>
      <c r="E163" s="158">
        <v>0</v>
      </c>
      <c r="F163" s="158">
        <v>0</v>
      </c>
      <c r="G163" s="158">
        <v>0</v>
      </c>
      <c r="H163" s="158">
        <v>0</v>
      </c>
      <c r="I163" s="158">
        <v>0</v>
      </c>
      <c r="J163" s="158">
        <v>0</v>
      </c>
      <c r="K163" s="158">
        <v>0</v>
      </c>
      <c r="L163" s="158">
        <v>0</v>
      </c>
      <c r="M163" s="158">
        <v>0</v>
      </c>
      <c r="N163" s="158">
        <v>0</v>
      </c>
      <c r="O163" s="158">
        <v>0</v>
      </c>
      <c r="P163" s="158">
        <v>0</v>
      </c>
      <c r="Q163" s="158">
        <v>0</v>
      </c>
      <c r="R163" s="158">
        <v>0</v>
      </c>
      <c r="S163" s="158">
        <v>0</v>
      </c>
      <c r="T163" s="158">
        <v>0</v>
      </c>
      <c r="U163" s="158">
        <v>0</v>
      </c>
      <c r="V163" s="158">
        <v>0</v>
      </c>
      <c r="W163" s="158">
        <v>0</v>
      </c>
      <c r="X163" s="158">
        <v>0</v>
      </c>
      <c r="Y163" s="158">
        <v>0</v>
      </c>
      <c r="Z163" s="158">
        <v>0</v>
      </c>
      <c r="AA163" s="158">
        <v>0</v>
      </c>
      <c r="AB163" s="158">
        <v>0</v>
      </c>
      <c r="AC163" s="158">
        <v>0</v>
      </c>
      <c r="AD163" s="158">
        <v>0</v>
      </c>
      <c r="AE163" s="195">
        <f>+PV(NotSlowWACC,(40-SUM(I$110:AE$110)),AVERAGE(Y162:AC162))*-1</f>
        <v>4491.6370022978363</v>
      </c>
    </row>
    <row r="164" spans="1:31" x14ac:dyDescent="0.25">
      <c r="A164" s="185" t="s">
        <v>138</v>
      </c>
      <c r="B164" s="192">
        <f>SUM(B162:B163)</f>
        <v>0</v>
      </c>
      <c r="C164" s="192">
        <f t="shared" ref="C164:AE164" si="264">SUM(C162:C163)</f>
        <v>1.1467245136739499</v>
      </c>
      <c r="D164" s="192">
        <f t="shared" si="264"/>
        <v>1.147703303638862</v>
      </c>
      <c r="E164" s="192">
        <f t="shared" si="264"/>
        <v>0.69565970850585201</v>
      </c>
      <c r="F164" s="192">
        <f t="shared" si="264"/>
        <v>6.8626358632873086E-2</v>
      </c>
      <c r="G164" s="192">
        <f t="shared" si="264"/>
        <v>74.528826833677854</v>
      </c>
      <c r="H164" s="192">
        <f t="shared" si="264"/>
        <v>-39.321956753978533</v>
      </c>
      <c r="I164" s="192">
        <f t="shared" si="264"/>
        <v>72.90686331465416</v>
      </c>
      <c r="J164" s="192">
        <f t="shared" si="264"/>
        <v>112.44218646590235</v>
      </c>
      <c r="K164" s="192">
        <f t="shared" si="264"/>
        <v>87.997331817982513</v>
      </c>
      <c r="L164" s="192">
        <f t="shared" si="264"/>
        <v>89.453748885346158</v>
      </c>
      <c r="M164" s="192">
        <f t="shared" si="264"/>
        <v>106.6984068464902</v>
      </c>
      <c r="N164" s="192">
        <f t="shared" si="264"/>
        <v>193.98966704442529</v>
      </c>
      <c r="O164" s="192">
        <f t="shared" si="264"/>
        <v>194.20420724754194</v>
      </c>
      <c r="P164" s="192">
        <f t="shared" si="264"/>
        <v>228.9937579346456</v>
      </c>
      <c r="Q164" s="192">
        <f t="shared" si="264"/>
        <v>259.65914614499445</v>
      </c>
      <c r="R164" s="192">
        <f t="shared" si="264"/>
        <v>252.9815780054407</v>
      </c>
      <c r="S164" s="192">
        <f t="shared" si="264"/>
        <v>350.18865349696841</v>
      </c>
      <c r="T164" s="192">
        <f t="shared" si="264"/>
        <v>315.67016593001421</v>
      </c>
      <c r="U164" s="192">
        <f t="shared" si="264"/>
        <v>312.90067433591605</v>
      </c>
      <c r="V164" s="192">
        <f t="shared" si="264"/>
        <v>349.35912708186657</v>
      </c>
      <c r="W164" s="192">
        <f t="shared" si="264"/>
        <v>351.09820858611096</v>
      </c>
      <c r="X164" s="192">
        <f t="shared" si="264"/>
        <v>391.95923760996322</v>
      </c>
      <c r="Y164" s="192">
        <f t="shared" si="264"/>
        <v>402.63659977863051</v>
      </c>
      <c r="Z164" s="192">
        <f t="shared" si="264"/>
        <v>388.50486153766246</v>
      </c>
      <c r="AA164" s="192">
        <f t="shared" si="264"/>
        <v>378.70874858271827</v>
      </c>
      <c r="AB164" s="192">
        <f t="shared" si="264"/>
        <v>389.27565226456409</v>
      </c>
      <c r="AC164" s="192">
        <f t="shared" si="264"/>
        <v>403.250042649649</v>
      </c>
      <c r="AD164" s="192">
        <f t="shared" si="264"/>
        <v>450.4089363513192</v>
      </c>
      <c r="AE164" s="193">
        <f t="shared" si="264"/>
        <v>4945.5242519492258</v>
      </c>
    </row>
    <row r="165" spans="1:31" x14ac:dyDescent="0.25">
      <c r="A165" s="185"/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  <c r="AA165" s="192"/>
      <c r="AB165" s="192"/>
      <c r="AC165" s="192"/>
      <c r="AD165" s="192"/>
      <c r="AE165" s="193"/>
    </row>
    <row r="166" spans="1:31" x14ac:dyDescent="0.25">
      <c r="A166" s="185" t="s">
        <v>118</v>
      </c>
      <c r="B166" s="196">
        <f>XNPV(NotSlowWACC,B164:AE164,$B$10:$AE$10)</f>
        <v>3749.4045994412736</v>
      </c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  <c r="AD166" s="184"/>
      <c r="AE166" s="163"/>
    </row>
    <row r="167" spans="1:31" ht="15.75" thickBot="1" x14ac:dyDescent="0.3">
      <c r="A167" s="234" t="s">
        <v>117</v>
      </c>
      <c r="B167" s="186">
        <f>+B154</f>
        <v>1571.8058788849773</v>
      </c>
      <c r="C167" s="184"/>
      <c r="D167" s="184"/>
      <c r="E167" s="184"/>
      <c r="F167" s="184"/>
      <c r="G167" s="184"/>
      <c r="H167" s="184"/>
      <c r="I167" s="184"/>
      <c r="J167" s="184"/>
      <c r="K167" s="184"/>
      <c r="L167" s="184"/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  <c r="Z167" s="184"/>
      <c r="AA167" s="184"/>
      <c r="AB167" s="184"/>
      <c r="AC167" s="184"/>
      <c r="AD167" s="184"/>
      <c r="AE167" s="163"/>
    </row>
    <row r="168" spans="1:31" ht="15.75" thickTop="1" x14ac:dyDescent="0.25">
      <c r="A168" s="164" t="s">
        <v>119</v>
      </c>
      <c r="B168" s="196">
        <f>+B166-B167</f>
        <v>2177.598720556296</v>
      </c>
      <c r="C168" s="184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  <c r="Z168" s="184"/>
      <c r="AA168" s="184"/>
      <c r="AB168" s="184"/>
      <c r="AC168" s="184"/>
      <c r="AD168" s="184"/>
      <c r="AE168" s="163"/>
    </row>
    <row r="169" spans="1:31" ht="15.75" thickBot="1" x14ac:dyDescent="0.3">
      <c r="A169" s="185"/>
      <c r="B169" s="184"/>
      <c r="C169" s="184"/>
      <c r="D169" s="184"/>
      <c r="E169" s="184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184"/>
      <c r="AB169" s="184"/>
      <c r="AC169" s="184"/>
      <c r="AD169" s="184"/>
      <c r="AE169" s="163"/>
    </row>
    <row r="170" spans="1:31" ht="15.75" thickTop="1" x14ac:dyDescent="0.25">
      <c r="A170" s="223" t="str">
        <f>+A66</f>
        <v xml:space="preserve">Option 1:  600 MW in 2027 </v>
      </c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224"/>
    </row>
    <row r="171" spans="1:31" x14ac:dyDescent="0.25">
      <c r="A171" s="225" t="str">
        <f>+A67</f>
        <v xml:space="preserve">Scenario: </v>
      </c>
      <c r="B171" s="74" t="str">
        <f>+B67</f>
        <v>Step Change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226"/>
    </row>
    <row r="172" spans="1:31" x14ac:dyDescent="0.25">
      <c r="A172" s="185"/>
      <c r="B172" s="189">
        <v>1</v>
      </c>
      <c r="C172" s="189">
        <v>1</v>
      </c>
      <c r="D172" s="189">
        <v>1</v>
      </c>
      <c r="E172" s="189">
        <v>1</v>
      </c>
      <c r="F172" s="189">
        <v>1</v>
      </c>
      <c r="G172" s="189">
        <v>1</v>
      </c>
      <c r="H172" s="189">
        <v>1</v>
      </c>
      <c r="I172" s="189">
        <v>1</v>
      </c>
      <c r="J172" s="189">
        <v>1</v>
      </c>
      <c r="K172" s="189">
        <v>1</v>
      </c>
      <c r="L172" s="189">
        <v>1</v>
      </c>
      <c r="M172" s="189">
        <v>1</v>
      </c>
      <c r="N172" s="189">
        <v>1</v>
      </c>
      <c r="O172" s="189">
        <v>1</v>
      </c>
      <c r="P172" s="189">
        <v>1</v>
      </c>
      <c r="Q172" s="189">
        <v>1</v>
      </c>
      <c r="R172" s="189">
        <v>1</v>
      </c>
      <c r="S172" s="189">
        <v>1</v>
      </c>
      <c r="T172" s="189">
        <v>1</v>
      </c>
      <c r="U172" s="189">
        <v>1</v>
      </c>
      <c r="V172" s="189">
        <v>1</v>
      </c>
      <c r="W172" s="189">
        <v>1</v>
      </c>
      <c r="X172" s="189">
        <v>1</v>
      </c>
      <c r="Y172" s="189">
        <v>1</v>
      </c>
      <c r="Z172" s="189">
        <v>1</v>
      </c>
      <c r="AA172" s="189">
        <v>1</v>
      </c>
      <c r="AB172" s="189">
        <v>1</v>
      </c>
      <c r="AC172" s="189">
        <v>1</v>
      </c>
      <c r="AD172" s="189">
        <v>1</v>
      </c>
      <c r="AE172" s="190">
        <v>1</v>
      </c>
    </row>
    <row r="173" spans="1:31" x14ac:dyDescent="0.25">
      <c r="A173" s="229" t="s">
        <v>39</v>
      </c>
      <c r="B173" s="180" t="str">
        <f>+B160</f>
        <v>2020-21</v>
      </c>
      <c r="C173" s="180" t="str">
        <f t="shared" ref="C173:AE173" si="265">+C160</f>
        <v>2021-22</v>
      </c>
      <c r="D173" s="180" t="str">
        <f t="shared" si="265"/>
        <v>2022-23</v>
      </c>
      <c r="E173" s="180" t="str">
        <f t="shared" si="265"/>
        <v>2023-24</v>
      </c>
      <c r="F173" s="180" t="str">
        <f t="shared" si="265"/>
        <v>2024-25</v>
      </c>
      <c r="G173" s="180" t="str">
        <f t="shared" si="265"/>
        <v>2025-26</v>
      </c>
      <c r="H173" s="180" t="str">
        <f t="shared" si="265"/>
        <v>2026-27</v>
      </c>
      <c r="I173" s="180" t="str">
        <f t="shared" si="265"/>
        <v>2027-28</v>
      </c>
      <c r="J173" s="180" t="str">
        <f t="shared" si="265"/>
        <v>2028-29</v>
      </c>
      <c r="K173" s="180" t="str">
        <f t="shared" si="265"/>
        <v>2029-30</v>
      </c>
      <c r="L173" s="180" t="str">
        <f t="shared" si="265"/>
        <v>2030-31</v>
      </c>
      <c r="M173" s="180" t="str">
        <f t="shared" si="265"/>
        <v>2031-32</v>
      </c>
      <c r="N173" s="180" t="str">
        <f t="shared" si="265"/>
        <v>2032-33</v>
      </c>
      <c r="O173" s="180" t="str">
        <f t="shared" si="265"/>
        <v>2033-34</v>
      </c>
      <c r="P173" s="180" t="str">
        <f t="shared" si="265"/>
        <v>2034-35</v>
      </c>
      <c r="Q173" s="180" t="str">
        <f t="shared" si="265"/>
        <v>2035-36</v>
      </c>
      <c r="R173" s="180" t="str">
        <f t="shared" si="265"/>
        <v>2036-37</v>
      </c>
      <c r="S173" s="180" t="str">
        <f t="shared" si="265"/>
        <v>2037-38</v>
      </c>
      <c r="T173" s="180" t="str">
        <f t="shared" si="265"/>
        <v>2038-39</v>
      </c>
      <c r="U173" s="180" t="str">
        <f t="shared" si="265"/>
        <v>2039-40</v>
      </c>
      <c r="V173" s="180" t="str">
        <f t="shared" si="265"/>
        <v>2040-41</v>
      </c>
      <c r="W173" s="180" t="str">
        <f t="shared" si="265"/>
        <v>2041-42</v>
      </c>
      <c r="X173" s="180" t="str">
        <f t="shared" si="265"/>
        <v>2042-43</v>
      </c>
      <c r="Y173" s="180" t="str">
        <f t="shared" si="265"/>
        <v>2043-44</v>
      </c>
      <c r="Z173" s="180" t="str">
        <f t="shared" si="265"/>
        <v>2044-45</v>
      </c>
      <c r="AA173" s="180" t="str">
        <f t="shared" si="265"/>
        <v>2045-46</v>
      </c>
      <c r="AB173" s="180" t="str">
        <f t="shared" si="265"/>
        <v>2046-47</v>
      </c>
      <c r="AC173" s="180" t="str">
        <f t="shared" si="265"/>
        <v>2047-48</v>
      </c>
      <c r="AD173" s="180" t="str">
        <f t="shared" si="265"/>
        <v>2048-49</v>
      </c>
      <c r="AE173" s="230" t="str">
        <f t="shared" si="265"/>
        <v>2049-50</v>
      </c>
    </row>
    <row r="174" spans="1:31" x14ac:dyDescent="0.25">
      <c r="A174" s="191"/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3"/>
    </row>
    <row r="175" spans="1:31" x14ac:dyDescent="0.25">
      <c r="A175" s="191" t="s">
        <v>136</v>
      </c>
      <c r="B175" s="192">
        <f t="shared" ref="B175:AE175" si="266">+B75</f>
        <v>0</v>
      </c>
      <c r="C175" s="192">
        <f t="shared" si="266"/>
        <v>14.139533547122301</v>
      </c>
      <c r="D175" s="192">
        <f t="shared" si="266"/>
        <v>15.43223521399295</v>
      </c>
      <c r="E175" s="192">
        <f t="shared" si="266"/>
        <v>28.219579418605978</v>
      </c>
      <c r="F175" s="192">
        <f t="shared" si="266"/>
        <v>31.170655937079559</v>
      </c>
      <c r="G175" s="192">
        <f t="shared" si="266"/>
        <v>46.005347783595347</v>
      </c>
      <c r="H175" s="192">
        <f t="shared" si="266"/>
        <v>-1.1386417760240835</v>
      </c>
      <c r="I175" s="192">
        <f t="shared" si="266"/>
        <v>144.30346737041893</v>
      </c>
      <c r="J175" s="192">
        <f t="shared" si="266"/>
        <v>147.93049357783448</v>
      </c>
      <c r="K175" s="192">
        <f t="shared" si="266"/>
        <v>128.32684312586639</v>
      </c>
      <c r="L175" s="192">
        <f t="shared" si="266"/>
        <v>160.19329892632328</v>
      </c>
      <c r="M175" s="192">
        <f t="shared" si="266"/>
        <v>221.65499740199945</v>
      </c>
      <c r="N175" s="192">
        <f t="shared" si="266"/>
        <v>234.74805794121087</v>
      </c>
      <c r="O175" s="192">
        <f t="shared" si="266"/>
        <v>288.97201232848812</v>
      </c>
      <c r="P175" s="192">
        <f t="shared" si="266"/>
        <v>353.38157787696753</v>
      </c>
      <c r="Q175" s="192">
        <f t="shared" si="266"/>
        <v>372.84196357223755</v>
      </c>
      <c r="R175" s="192">
        <f t="shared" si="266"/>
        <v>387.10517942889186</v>
      </c>
      <c r="S175" s="192">
        <f t="shared" si="266"/>
        <v>411.96743251259653</v>
      </c>
      <c r="T175" s="192">
        <f t="shared" si="266"/>
        <v>427.24440154149585</v>
      </c>
      <c r="U175" s="192">
        <f t="shared" si="266"/>
        <v>428.4464966026988</v>
      </c>
      <c r="V175" s="192">
        <f t="shared" si="266"/>
        <v>467.71961740129655</v>
      </c>
      <c r="W175" s="192">
        <f t="shared" si="266"/>
        <v>434.68627877470618</v>
      </c>
      <c r="X175" s="192">
        <f t="shared" si="266"/>
        <v>581.23624580314413</v>
      </c>
      <c r="Y175" s="192">
        <f t="shared" si="266"/>
        <v>609.2161599118034</v>
      </c>
      <c r="Z175" s="192">
        <f t="shared" si="266"/>
        <v>582.20051305087372</v>
      </c>
      <c r="AA175" s="192">
        <f t="shared" si="266"/>
        <v>557.73442595653466</v>
      </c>
      <c r="AB175" s="192">
        <f t="shared" si="266"/>
        <v>615.33503370242727</v>
      </c>
      <c r="AC175" s="192">
        <f t="shared" si="266"/>
        <v>539.50711748817957</v>
      </c>
      <c r="AD175" s="192">
        <f t="shared" si="266"/>
        <v>489.4938943673601</v>
      </c>
      <c r="AE175" s="193">
        <f t="shared" si="266"/>
        <v>470.87835414553069</v>
      </c>
    </row>
    <row r="176" spans="1:31" x14ac:dyDescent="0.25">
      <c r="A176" s="194" t="s">
        <v>137</v>
      </c>
      <c r="B176" s="158">
        <v>0</v>
      </c>
      <c r="C176" s="158">
        <v>0</v>
      </c>
      <c r="D176" s="158">
        <v>0</v>
      </c>
      <c r="E176" s="158">
        <v>0</v>
      </c>
      <c r="F176" s="158">
        <v>0</v>
      </c>
      <c r="G176" s="158">
        <v>0</v>
      </c>
      <c r="H176" s="158">
        <v>0</v>
      </c>
      <c r="I176" s="158">
        <v>0</v>
      </c>
      <c r="J176" s="158">
        <v>0</v>
      </c>
      <c r="K176" s="158">
        <v>0</v>
      </c>
      <c r="L176" s="158">
        <v>0</v>
      </c>
      <c r="M176" s="158">
        <v>0</v>
      </c>
      <c r="N176" s="158">
        <v>0</v>
      </c>
      <c r="O176" s="158">
        <v>0</v>
      </c>
      <c r="P176" s="158">
        <v>0</v>
      </c>
      <c r="Q176" s="158">
        <v>0</v>
      </c>
      <c r="R176" s="158">
        <v>0</v>
      </c>
      <c r="S176" s="158">
        <v>0</v>
      </c>
      <c r="T176" s="158">
        <v>0</v>
      </c>
      <c r="U176" s="158">
        <v>0</v>
      </c>
      <c r="V176" s="158">
        <v>0</v>
      </c>
      <c r="W176" s="158">
        <v>0</v>
      </c>
      <c r="X176" s="158">
        <v>0</v>
      </c>
      <c r="Y176" s="158">
        <v>0</v>
      </c>
      <c r="Z176" s="158">
        <v>0</v>
      </c>
      <c r="AA176" s="158">
        <v>0</v>
      </c>
      <c r="AB176" s="158">
        <v>0</v>
      </c>
      <c r="AC176" s="158">
        <v>0</v>
      </c>
      <c r="AD176" s="158">
        <v>0</v>
      </c>
      <c r="AE176" s="195">
        <f>+PV(NotSlowWACC,(40-SUM(I$110:AE$110)),AVERAGE(Y175:AC175))*-1</f>
        <v>6646.8832524000509</v>
      </c>
    </row>
    <row r="177" spans="1:31" x14ac:dyDescent="0.25">
      <c r="A177" s="185" t="s">
        <v>138</v>
      </c>
      <c r="B177" s="192">
        <f>SUM(B175:B176)</f>
        <v>0</v>
      </c>
      <c r="C177" s="192">
        <f t="shared" ref="C177:AE177" si="267">SUM(C175:C176)</f>
        <v>14.139533547122301</v>
      </c>
      <c r="D177" s="192">
        <f t="shared" si="267"/>
        <v>15.43223521399295</v>
      </c>
      <c r="E177" s="192">
        <f t="shared" si="267"/>
        <v>28.219579418605978</v>
      </c>
      <c r="F177" s="192">
        <f t="shared" si="267"/>
        <v>31.170655937079559</v>
      </c>
      <c r="G177" s="192">
        <f t="shared" si="267"/>
        <v>46.005347783595347</v>
      </c>
      <c r="H177" s="192">
        <f t="shared" si="267"/>
        <v>-1.1386417760240835</v>
      </c>
      <c r="I177" s="192">
        <f t="shared" si="267"/>
        <v>144.30346737041893</v>
      </c>
      <c r="J177" s="192">
        <f t="shared" si="267"/>
        <v>147.93049357783448</v>
      </c>
      <c r="K177" s="192">
        <f t="shared" si="267"/>
        <v>128.32684312586639</v>
      </c>
      <c r="L177" s="192">
        <f t="shared" si="267"/>
        <v>160.19329892632328</v>
      </c>
      <c r="M177" s="192">
        <f t="shared" si="267"/>
        <v>221.65499740199945</v>
      </c>
      <c r="N177" s="192">
        <f t="shared" si="267"/>
        <v>234.74805794121087</v>
      </c>
      <c r="O177" s="192">
        <f t="shared" si="267"/>
        <v>288.97201232848812</v>
      </c>
      <c r="P177" s="192">
        <f t="shared" si="267"/>
        <v>353.38157787696753</v>
      </c>
      <c r="Q177" s="192">
        <f t="shared" si="267"/>
        <v>372.84196357223755</v>
      </c>
      <c r="R177" s="192">
        <f t="shared" si="267"/>
        <v>387.10517942889186</v>
      </c>
      <c r="S177" s="192">
        <f t="shared" si="267"/>
        <v>411.96743251259653</v>
      </c>
      <c r="T177" s="192">
        <f t="shared" si="267"/>
        <v>427.24440154149585</v>
      </c>
      <c r="U177" s="192">
        <f t="shared" si="267"/>
        <v>428.4464966026988</v>
      </c>
      <c r="V177" s="192">
        <f t="shared" si="267"/>
        <v>467.71961740129655</v>
      </c>
      <c r="W177" s="192">
        <f t="shared" si="267"/>
        <v>434.68627877470618</v>
      </c>
      <c r="X177" s="192">
        <f t="shared" si="267"/>
        <v>581.23624580314413</v>
      </c>
      <c r="Y177" s="192">
        <f t="shared" si="267"/>
        <v>609.2161599118034</v>
      </c>
      <c r="Z177" s="192">
        <f t="shared" si="267"/>
        <v>582.20051305087372</v>
      </c>
      <c r="AA177" s="192">
        <f t="shared" si="267"/>
        <v>557.73442595653466</v>
      </c>
      <c r="AB177" s="192">
        <f t="shared" si="267"/>
        <v>615.33503370242727</v>
      </c>
      <c r="AC177" s="192">
        <f t="shared" si="267"/>
        <v>539.50711748817957</v>
      </c>
      <c r="AD177" s="192">
        <f t="shared" si="267"/>
        <v>489.4938943673601</v>
      </c>
      <c r="AE177" s="193">
        <f t="shared" si="267"/>
        <v>7117.7616065455813</v>
      </c>
    </row>
    <row r="178" spans="1:31" x14ac:dyDescent="0.25">
      <c r="A178" s="185"/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3"/>
    </row>
    <row r="179" spans="1:31" x14ac:dyDescent="0.25">
      <c r="A179" s="185" t="s">
        <v>118</v>
      </c>
      <c r="B179" s="196">
        <f>XNPV(NotSlowWACC,B177:AE177,$B$10:$AE$10)</f>
        <v>5433.8673055928703</v>
      </c>
      <c r="C179" s="184"/>
      <c r="D179" s="184"/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  <c r="AD179" s="184"/>
      <c r="AE179" s="163"/>
    </row>
    <row r="180" spans="1:31" ht="15.75" thickBot="1" x14ac:dyDescent="0.3">
      <c r="A180" s="234" t="s">
        <v>117</v>
      </c>
      <c r="B180" s="186">
        <f>+B167</f>
        <v>1571.8058788849773</v>
      </c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  <c r="AD180" s="184"/>
      <c r="AE180" s="163"/>
    </row>
    <row r="181" spans="1:31" ht="16.5" thickTop="1" thickBot="1" x14ac:dyDescent="0.3">
      <c r="A181" s="235" t="s">
        <v>119</v>
      </c>
      <c r="B181" s="236">
        <f>+B179-B180</f>
        <v>3862.0614267078927</v>
      </c>
      <c r="C181" s="18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  <c r="Z181" s="183"/>
      <c r="AA181" s="183"/>
      <c r="AB181" s="183"/>
      <c r="AC181" s="183"/>
      <c r="AD181" s="183"/>
      <c r="AE181" s="202"/>
    </row>
    <row r="182" spans="1:31" x14ac:dyDescent="0.2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2"/>
  <sheetViews>
    <sheetView workbookViewId="0"/>
  </sheetViews>
  <sheetFormatPr defaultColWidth="0" defaultRowHeight="15" zeroHeight="1" x14ac:dyDescent="0.25"/>
  <cols>
    <col min="1" max="1" width="30.85546875" style="182" customWidth="1"/>
    <col min="2" max="31" width="12.7109375" style="182" customWidth="1"/>
    <col min="32" max="32" width="4.140625" style="182" customWidth="1"/>
    <col min="33" max="16384" width="4.140625" style="182" hidden="1"/>
  </cols>
  <sheetData>
    <row r="1" spans="1:31" ht="21" x14ac:dyDescent="0.35">
      <c r="A1" s="105" t="s">
        <v>165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x14ac:dyDescent="0.25">
      <c r="A2" s="91" t="str">
        <f>+Overview!B7</f>
        <v>Option 2:  750 MW in 2027</v>
      </c>
      <c r="B2" s="184"/>
    </row>
    <row r="3" spans="1:31" x14ac:dyDescent="0.25">
      <c r="A3" s="182" t="s">
        <v>37</v>
      </c>
      <c r="B3" s="92">
        <f>+Overview!C13</f>
        <v>4.8000000000000001E-2</v>
      </c>
      <c r="C3" s="182" t="s">
        <v>105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x14ac:dyDescent="0.25">
      <c r="A4"/>
      <c r="B4" s="92">
        <f>+Overview!C14</f>
        <v>3.7999999999999999E-2</v>
      </c>
      <c r="C4" s="182" t="s">
        <v>106</v>
      </c>
      <c r="H4" s="94"/>
    </row>
    <row r="5" spans="1:31" ht="15.75" thickBot="1" x14ac:dyDescent="0.3">
      <c r="A5" s="155" t="s">
        <v>112</v>
      </c>
    </row>
    <row r="6" spans="1:31" ht="15.75" thickTop="1" x14ac:dyDescent="0.25">
      <c r="A6" s="71" t="str">
        <f>+A2</f>
        <v>Option 2:  750 MW in 2027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x14ac:dyDescent="0.25">
      <c r="A7" s="73" t="s">
        <v>72</v>
      </c>
      <c r="B7" s="74" t="str">
        <f>+Overview!D6</f>
        <v xml:space="preserve">Slow Change 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1:31" x14ac:dyDescent="0.25">
      <c r="A8" s="2" t="s">
        <v>34</v>
      </c>
      <c r="B8" s="1">
        <v>0</v>
      </c>
      <c r="C8" s="1">
        <f>+B8+1</f>
        <v>1</v>
      </c>
      <c r="D8" s="1">
        <f t="shared" ref="D8:AE8" si="0">+C8+1</f>
        <v>2</v>
      </c>
      <c r="E8" s="1">
        <f t="shared" si="0"/>
        <v>3</v>
      </c>
      <c r="F8" s="1">
        <f t="shared" si="0"/>
        <v>4</v>
      </c>
      <c r="G8" s="1">
        <f t="shared" si="0"/>
        <v>5</v>
      </c>
      <c r="H8" s="8">
        <f t="shared" si="0"/>
        <v>6</v>
      </c>
      <c r="I8" s="1">
        <f t="shared" si="0"/>
        <v>7</v>
      </c>
      <c r="J8" s="1">
        <f t="shared" si="0"/>
        <v>8</v>
      </c>
      <c r="K8" s="1">
        <f t="shared" si="0"/>
        <v>9</v>
      </c>
      <c r="L8" s="1">
        <f t="shared" si="0"/>
        <v>10</v>
      </c>
      <c r="M8" s="1">
        <f t="shared" si="0"/>
        <v>11</v>
      </c>
      <c r="N8" s="1">
        <f t="shared" si="0"/>
        <v>12</v>
      </c>
      <c r="O8" s="1">
        <f t="shared" si="0"/>
        <v>13</v>
      </c>
      <c r="P8" s="1">
        <f t="shared" si="0"/>
        <v>14</v>
      </c>
      <c r="Q8" s="1">
        <f t="shared" si="0"/>
        <v>15</v>
      </c>
      <c r="R8" s="1">
        <f t="shared" si="0"/>
        <v>16</v>
      </c>
      <c r="S8" s="1">
        <f t="shared" si="0"/>
        <v>17</v>
      </c>
      <c r="T8" s="1">
        <f t="shared" si="0"/>
        <v>18</v>
      </c>
      <c r="U8" s="1">
        <f t="shared" si="0"/>
        <v>19</v>
      </c>
      <c r="V8" s="1">
        <f t="shared" si="0"/>
        <v>20</v>
      </c>
      <c r="W8" s="1">
        <f t="shared" si="0"/>
        <v>21</v>
      </c>
      <c r="X8" s="1">
        <f t="shared" si="0"/>
        <v>22</v>
      </c>
      <c r="Y8" s="1">
        <f t="shared" si="0"/>
        <v>23</v>
      </c>
      <c r="Z8" s="1">
        <f t="shared" si="0"/>
        <v>24</v>
      </c>
      <c r="AA8" s="1">
        <f t="shared" si="0"/>
        <v>25</v>
      </c>
      <c r="AB8" s="1">
        <f t="shared" si="0"/>
        <v>26</v>
      </c>
      <c r="AC8" s="1">
        <f t="shared" si="0"/>
        <v>27</v>
      </c>
      <c r="AD8" s="1">
        <f t="shared" si="0"/>
        <v>28</v>
      </c>
      <c r="AE8" s="1">
        <f t="shared" si="0"/>
        <v>29</v>
      </c>
    </row>
    <row r="9" spans="1:31" x14ac:dyDescent="0.25">
      <c r="A9" t="s">
        <v>35</v>
      </c>
      <c r="B9" s="4">
        <v>1</v>
      </c>
      <c r="C9" s="4">
        <f t="shared" ref="C9:AE9" si="1">1/((1+SlowWACC)^((C10-$B$10)/365))</f>
        <v>0.96339113680154143</v>
      </c>
      <c r="D9" s="4">
        <f t="shared" si="1"/>
        <v>0.9281224824677663</v>
      </c>
      <c r="E9" s="4">
        <f t="shared" si="1"/>
        <v>0.89414497347569</v>
      </c>
      <c r="F9" s="4">
        <f t="shared" si="1"/>
        <v>0.86132332774791709</v>
      </c>
      <c r="G9" s="4">
        <f t="shared" si="1"/>
        <v>0.82979125987275248</v>
      </c>
      <c r="H9" s="4">
        <f t="shared" si="1"/>
        <v>0.79941354515679419</v>
      </c>
      <c r="I9" s="4">
        <f t="shared" si="1"/>
        <v>0.77014792404315435</v>
      </c>
      <c r="J9" s="4">
        <f t="shared" si="1"/>
        <v>0.74187787492274582</v>
      </c>
      <c r="K9" s="4">
        <f t="shared" si="1"/>
        <v>0.71471856928973576</v>
      </c>
      <c r="L9" s="4">
        <f t="shared" si="1"/>
        <v>0.68855353496120986</v>
      </c>
      <c r="M9" s="4">
        <f t="shared" si="1"/>
        <v>0.66334637279499975</v>
      </c>
      <c r="N9" s="4">
        <f t="shared" si="1"/>
        <v>0.63899672001101238</v>
      </c>
      <c r="O9" s="4">
        <f t="shared" si="1"/>
        <v>0.61560377650386555</v>
      </c>
      <c r="P9" s="4">
        <f t="shared" si="1"/>
        <v>0.59306722206538098</v>
      </c>
      <c r="Q9" s="4">
        <f t="shared" si="1"/>
        <v>0.57135570526529955</v>
      </c>
      <c r="R9" s="4">
        <f t="shared" si="1"/>
        <v>0.55038278129988927</v>
      </c>
      <c r="S9" s="4">
        <f t="shared" si="1"/>
        <v>0.53023389335249438</v>
      </c>
      <c r="T9" s="4">
        <f t="shared" si="1"/>
        <v>0.51082263328756683</v>
      </c>
      <c r="U9" s="4">
        <f t="shared" si="1"/>
        <v>0.49212199738686585</v>
      </c>
      <c r="V9" s="4">
        <f t="shared" si="1"/>
        <v>0.47405752872437462</v>
      </c>
      <c r="W9" s="4">
        <f t="shared" si="1"/>
        <v>0.45670282150710462</v>
      </c>
      <c r="X9" s="4">
        <f t="shared" si="1"/>
        <v>0.43998345039220105</v>
      </c>
      <c r="Y9" s="4">
        <f t="shared" si="1"/>
        <v>0.42387615644720705</v>
      </c>
      <c r="Z9" s="4">
        <f t="shared" si="1"/>
        <v>0.40831680818483218</v>
      </c>
      <c r="AA9" s="4">
        <f t="shared" si="1"/>
        <v>0.39336879401236235</v>
      </c>
      <c r="AB9" s="4">
        <f t="shared" si="1"/>
        <v>0.37896800964582117</v>
      </c>
      <c r="AC9" s="4">
        <f t="shared" si="1"/>
        <v>0.3650944216241051</v>
      </c>
      <c r="AD9" s="4">
        <f t="shared" si="1"/>
        <v>0.35169279200116749</v>
      </c>
      <c r="AE9" s="4">
        <f t="shared" si="1"/>
        <v>0.33881771869091287</v>
      </c>
    </row>
    <row r="10" spans="1:31" x14ac:dyDescent="0.25">
      <c r="A10" s="5" t="s">
        <v>70</v>
      </c>
      <c r="B10" s="6">
        <v>44013</v>
      </c>
      <c r="C10" s="6">
        <f>EDATE(B10,12)</f>
        <v>44378</v>
      </c>
      <c r="D10" s="6">
        <f t="shared" ref="D10:AE10" si="2">EDATE(C10,12)</f>
        <v>44743</v>
      </c>
      <c r="E10" s="6">
        <f t="shared" si="2"/>
        <v>45108</v>
      </c>
      <c r="F10" s="6">
        <f t="shared" si="2"/>
        <v>45474</v>
      </c>
      <c r="G10" s="6">
        <f t="shared" si="2"/>
        <v>45839</v>
      </c>
      <c r="H10" s="6">
        <f t="shared" si="2"/>
        <v>46204</v>
      </c>
      <c r="I10" s="6">
        <f t="shared" si="2"/>
        <v>46569</v>
      </c>
      <c r="J10" s="6">
        <f t="shared" si="2"/>
        <v>46935</v>
      </c>
      <c r="K10" s="6">
        <f t="shared" si="2"/>
        <v>47300</v>
      </c>
      <c r="L10" s="6">
        <f t="shared" si="2"/>
        <v>47665</v>
      </c>
      <c r="M10" s="6">
        <f t="shared" si="2"/>
        <v>48030</v>
      </c>
      <c r="N10" s="6">
        <f t="shared" si="2"/>
        <v>48396</v>
      </c>
      <c r="O10" s="6">
        <f t="shared" si="2"/>
        <v>48761</v>
      </c>
      <c r="P10" s="6">
        <f t="shared" si="2"/>
        <v>49126</v>
      </c>
      <c r="Q10" s="6">
        <f t="shared" si="2"/>
        <v>49491</v>
      </c>
      <c r="R10" s="6">
        <f t="shared" si="2"/>
        <v>49857</v>
      </c>
      <c r="S10" s="6">
        <f t="shared" si="2"/>
        <v>50222</v>
      </c>
      <c r="T10" s="6">
        <f t="shared" si="2"/>
        <v>50587</v>
      </c>
      <c r="U10" s="6">
        <f t="shared" si="2"/>
        <v>50952</v>
      </c>
      <c r="V10" s="6">
        <f t="shared" si="2"/>
        <v>51318</v>
      </c>
      <c r="W10" s="6">
        <f t="shared" si="2"/>
        <v>51683</v>
      </c>
      <c r="X10" s="6">
        <f t="shared" si="2"/>
        <v>52048</v>
      </c>
      <c r="Y10" s="6">
        <f t="shared" si="2"/>
        <v>52413</v>
      </c>
      <c r="Z10" s="6">
        <f t="shared" si="2"/>
        <v>52779</v>
      </c>
      <c r="AA10" s="6">
        <f t="shared" si="2"/>
        <v>53144</v>
      </c>
      <c r="AB10" s="6">
        <f t="shared" si="2"/>
        <v>53509</v>
      </c>
      <c r="AC10" s="6">
        <f t="shared" si="2"/>
        <v>53874</v>
      </c>
      <c r="AD10" s="6">
        <f t="shared" si="2"/>
        <v>54240</v>
      </c>
      <c r="AE10" s="6">
        <f t="shared" si="2"/>
        <v>54605</v>
      </c>
    </row>
    <row r="11" spans="1:31" x14ac:dyDescent="0.25">
      <c r="A11" s="179" t="s">
        <v>39</v>
      </c>
      <c r="B11" s="180" t="s">
        <v>2</v>
      </c>
      <c r="C11" s="180" t="s">
        <v>3</v>
      </c>
      <c r="D11" s="180" t="s">
        <v>4</v>
      </c>
      <c r="E11" s="180" t="s">
        <v>5</v>
      </c>
      <c r="F11" s="180" t="s">
        <v>6</v>
      </c>
      <c r="G11" s="180" t="s">
        <v>7</v>
      </c>
      <c r="H11" s="180" t="s">
        <v>8</v>
      </c>
      <c r="I11" s="180" t="s">
        <v>9</v>
      </c>
      <c r="J11" s="180" t="s">
        <v>10</v>
      </c>
      <c r="K11" s="180" t="s">
        <v>11</v>
      </c>
      <c r="L11" s="180" t="s">
        <v>12</v>
      </c>
      <c r="M11" s="180" t="s">
        <v>13</v>
      </c>
      <c r="N11" s="180" t="s">
        <v>14</v>
      </c>
      <c r="O11" s="180" t="s">
        <v>15</v>
      </c>
      <c r="P11" s="180" t="s">
        <v>16</v>
      </c>
      <c r="Q11" s="180" t="s">
        <v>17</v>
      </c>
      <c r="R11" s="180" t="s">
        <v>18</v>
      </c>
      <c r="S11" s="180" t="s">
        <v>19</v>
      </c>
      <c r="T11" s="180" t="s">
        <v>20</v>
      </c>
      <c r="U11" s="180" t="s">
        <v>21</v>
      </c>
      <c r="V11" s="180" t="s">
        <v>22</v>
      </c>
      <c r="W11" s="180" t="s">
        <v>23</v>
      </c>
      <c r="X11" s="180" t="s">
        <v>24</v>
      </c>
      <c r="Y11" s="180" t="s">
        <v>25</v>
      </c>
      <c r="Z11" s="180" t="s">
        <v>26</v>
      </c>
      <c r="AA11" s="180" t="s">
        <v>27</v>
      </c>
      <c r="AB11" s="180" t="s">
        <v>28</v>
      </c>
      <c r="AC11" s="180" t="s">
        <v>29</v>
      </c>
      <c r="AD11" s="180" t="s">
        <v>30</v>
      </c>
      <c r="AE11" s="180" t="s">
        <v>31</v>
      </c>
    </row>
    <row r="12" spans="1:31" x14ac:dyDescent="0.25">
      <c r="A12" s="52" t="s">
        <v>111</v>
      </c>
      <c r="B12" s="77">
        <v>0</v>
      </c>
      <c r="C12" s="77">
        <v>-2.7515080489832306E-4</v>
      </c>
      <c r="D12" s="77">
        <v>-0.54139923926903055</v>
      </c>
      <c r="E12" s="77">
        <v>-0.74039838188451312</v>
      </c>
      <c r="F12" s="77">
        <v>-14.26204872017505</v>
      </c>
      <c r="G12" s="77">
        <v>12.242131680678737</v>
      </c>
      <c r="H12" s="77">
        <v>9.4078116249823704</v>
      </c>
      <c r="I12" s="77">
        <v>120.66944520603295</v>
      </c>
      <c r="J12" s="77">
        <v>339.69952852555502</v>
      </c>
      <c r="K12" s="77">
        <v>123.4939428412211</v>
      </c>
      <c r="L12" s="77">
        <v>111.56924169834332</v>
      </c>
      <c r="M12" s="77">
        <v>98.837065670450684</v>
      </c>
      <c r="N12" s="77">
        <v>105.26317628669892</v>
      </c>
      <c r="O12" s="77">
        <v>104.14211155640038</v>
      </c>
      <c r="P12" s="77">
        <v>104.52205139749863</v>
      </c>
      <c r="Q12" s="77">
        <v>92.695155909292581</v>
      </c>
      <c r="R12" s="77">
        <v>94.316617194816189</v>
      </c>
      <c r="S12" s="77">
        <v>97.281903650235904</v>
      </c>
      <c r="T12" s="77">
        <v>260.25228095766903</v>
      </c>
      <c r="U12" s="77">
        <v>127.41696616272414</v>
      </c>
      <c r="V12" s="77">
        <v>89.717631377038856</v>
      </c>
      <c r="W12" s="77">
        <v>84.735317904170046</v>
      </c>
      <c r="X12" s="77">
        <v>87.039907510533027</v>
      </c>
      <c r="Y12" s="77">
        <v>93.214510616182437</v>
      </c>
      <c r="Z12" s="77">
        <v>96.552758777500088</v>
      </c>
      <c r="AA12" s="77">
        <v>85.092430862708937</v>
      </c>
      <c r="AB12" s="77">
        <v>78.11556182060707</v>
      </c>
      <c r="AC12" s="77">
        <v>72.852905261250115</v>
      </c>
      <c r="AD12" s="77">
        <v>160.26024205307843</v>
      </c>
      <c r="AE12" s="77">
        <v>168.1747771926575</v>
      </c>
    </row>
    <row r="13" spans="1:31" x14ac:dyDescent="0.25">
      <c r="A13" s="48" t="s">
        <v>42</v>
      </c>
      <c r="B13" s="49">
        <f t="shared" ref="B13:AE13" si="3">+B12/B9</f>
        <v>0</v>
      </c>
      <c r="C13" s="49">
        <f t="shared" si="3"/>
        <v>-2.8560653548445933E-4</v>
      </c>
      <c r="D13" s="49">
        <f t="shared" si="3"/>
        <v>-0.58332736195498136</v>
      </c>
      <c r="E13" s="49">
        <f t="shared" si="3"/>
        <v>-0.82805183034968222</v>
      </c>
      <c r="F13" s="49">
        <f t="shared" si="3"/>
        <v>-16.5582984469557</v>
      </c>
      <c r="G13" s="49">
        <f t="shared" si="3"/>
        <v>14.75326660171867</v>
      </c>
      <c r="H13" s="49">
        <f t="shared" si="3"/>
        <v>11.768391569018455</v>
      </c>
      <c r="I13" s="49">
        <f t="shared" si="3"/>
        <v>156.68346487586115</v>
      </c>
      <c r="J13" s="49">
        <f t="shared" si="3"/>
        <v>457.8914400984516</v>
      </c>
      <c r="K13" s="49">
        <f t="shared" si="3"/>
        <v>172.78681168721471</v>
      </c>
      <c r="L13" s="49">
        <f t="shared" si="3"/>
        <v>162.03422977797746</v>
      </c>
      <c r="M13" s="49">
        <f t="shared" si="3"/>
        <v>148.99767259448819</v>
      </c>
      <c r="N13" s="49">
        <f t="shared" si="3"/>
        <v>164.73195086961454</v>
      </c>
      <c r="O13" s="49">
        <f t="shared" si="3"/>
        <v>169.17068337014408</v>
      </c>
      <c r="P13" s="49">
        <f t="shared" si="3"/>
        <v>176.23980471133825</v>
      </c>
      <c r="Q13" s="49">
        <f t="shared" si="3"/>
        <v>162.23721064665159</v>
      </c>
      <c r="R13" s="49">
        <f t="shared" si="3"/>
        <v>171.36549397868157</v>
      </c>
      <c r="S13" s="49">
        <f t="shared" si="3"/>
        <v>183.46979487703896</v>
      </c>
      <c r="T13" s="49">
        <f t="shared" si="3"/>
        <v>509.47680074927376</v>
      </c>
      <c r="U13" s="49">
        <f t="shared" si="3"/>
        <v>258.91337278012264</v>
      </c>
      <c r="V13" s="49">
        <f t="shared" si="3"/>
        <v>189.25473374182454</v>
      </c>
      <c r="W13" s="49">
        <f t="shared" si="3"/>
        <v>185.53710183910454</v>
      </c>
      <c r="X13" s="49">
        <f t="shared" si="3"/>
        <v>197.82541237163738</v>
      </c>
      <c r="Y13" s="49">
        <f t="shared" si="3"/>
        <v>219.90977600032127</v>
      </c>
      <c r="Z13" s="49">
        <f t="shared" si="3"/>
        <v>236.46530547376753</v>
      </c>
      <c r="AA13" s="49">
        <f t="shared" si="3"/>
        <v>216.31718671622627</v>
      </c>
      <c r="AB13" s="49">
        <f t="shared" si="3"/>
        <v>206.1270604176139</v>
      </c>
      <c r="AC13" s="49">
        <f t="shared" si="3"/>
        <v>199.54538044478315</v>
      </c>
      <c r="AD13" s="49">
        <f t="shared" si="3"/>
        <v>455.68247543880977</v>
      </c>
      <c r="AE13" s="49">
        <f t="shared" si="3"/>
        <v>496.35768118158916</v>
      </c>
    </row>
    <row r="14" spans="1:31" x14ac:dyDescent="0.25">
      <c r="A14" s="50" t="s">
        <v>40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f>+'FCAS benefits'!K10</f>
        <v>15.788363499540408</v>
      </c>
      <c r="J14" s="51">
        <f>+'FCAS benefits'!L10</f>
        <v>15.876122651112929</v>
      </c>
      <c r="K14" s="51">
        <f>+'FCAS benefits'!M10</f>
        <v>15.961779131322926</v>
      </c>
      <c r="L14" s="51">
        <f>+'FCAS benefits'!N10</f>
        <v>16.048292176335021</v>
      </c>
      <c r="M14" s="51">
        <f>+'FCAS benefits'!O10</f>
        <v>16.135670351797238</v>
      </c>
      <c r="N14" s="51">
        <f>+'FCAS benefits'!P10</f>
        <v>16.223922309014075</v>
      </c>
      <c r="O14" s="51">
        <f>+'FCAS benefits'!Q10</f>
        <v>16.313056785803084</v>
      </c>
      <c r="P14" s="51">
        <f>+'FCAS benefits'!R10</f>
        <v>16.40308260735998</v>
      </c>
      <c r="Q14" s="51">
        <f>+'FCAS benefits'!S10</f>
        <v>16.49400868713245</v>
      </c>
      <c r="R14" s="51">
        <f>+'FCAS benefits'!T10</f>
        <v>16.585844027702642</v>
      </c>
      <c r="S14" s="51">
        <f>+'FCAS benefits'!U10</f>
        <v>16.678597721678535</v>
      </c>
      <c r="T14" s="51">
        <f>+'FCAS benefits'!V10</f>
        <v>16.772278952594188</v>
      </c>
      <c r="U14" s="51">
        <f>+'FCAS benefits'!W10</f>
        <v>16.866896995818998</v>
      </c>
      <c r="V14" s="51">
        <f>+'FCAS benefits'!X10</f>
        <v>16.962461219476054</v>
      </c>
      <c r="W14" s="51">
        <f>+'FCAS benefits'!Y10</f>
        <v>17.058981085369684</v>
      </c>
      <c r="X14" s="51">
        <f>+'FCAS benefits'!Z10</f>
        <v>17.156466149922252</v>
      </c>
      <c r="Y14" s="51">
        <f>+'FCAS benefits'!AA10</f>
        <v>17.25492606512034</v>
      </c>
      <c r="Z14" s="51">
        <f>+'FCAS benefits'!AB10</f>
        <v>17.354370579470412</v>
      </c>
      <c r="AA14" s="51">
        <f>+'FCAS benefits'!AC10</f>
        <v>17.454809538963978</v>
      </c>
      <c r="AB14" s="51">
        <f>+'FCAS benefits'!AD10</f>
        <v>17.556252888052487</v>
      </c>
      <c r="AC14" s="51">
        <f>+'FCAS benefits'!AE10</f>
        <v>17.658710670631876</v>
      </c>
      <c r="AD14" s="51">
        <f>+'FCAS benefits'!AF10</f>
        <v>17.762193031037071</v>
      </c>
      <c r="AE14" s="51">
        <f>+'FCAS benefits'!AG10</f>
        <v>17.866710215046304</v>
      </c>
    </row>
    <row r="15" spans="1:31" x14ac:dyDescent="0.25">
      <c r="A15" s="46" t="s">
        <v>41</v>
      </c>
      <c r="B15" s="47">
        <f>+B14+B13</f>
        <v>0</v>
      </c>
      <c r="C15" s="47">
        <f t="shared" ref="C15:AE15" si="4">+C14+C13</f>
        <v>-2.8560653548445933E-4</v>
      </c>
      <c r="D15" s="47">
        <f t="shared" si="4"/>
        <v>-0.58332736195498136</v>
      </c>
      <c r="E15" s="47">
        <f t="shared" si="4"/>
        <v>-0.82805183034968222</v>
      </c>
      <c r="F15" s="47">
        <f t="shared" si="4"/>
        <v>-16.5582984469557</v>
      </c>
      <c r="G15" s="47">
        <f t="shared" si="4"/>
        <v>14.75326660171867</v>
      </c>
      <c r="H15" s="47">
        <f t="shared" si="4"/>
        <v>11.768391569018455</v>
      </c>
      <c r="I15" s="47">
        <f t="shared" si="4"/>
        <v>172.47182837540154</v>
      </c>
      <c r="J15" s="47">
        <f t="shared" si="4"/>
        <v>473.76756274956455</v>
      </c>
      <c r="K15" s="47">
        <f t="shared" si="4"/>
        <v>188.74859081853762</v>
      </c>
      <c r="L15" s="47">
        <f t="shared" si="4"/>
        <v>178.08252195431248</v>
      </c>
      <c r="M15" s="47">
        <f t="shared" si="4"/>
        <v>165.13334294628544</v>
      </c>
      <c r="N15" s="47">
        <f t="shared" si="4"/>
        <v>180.95587317862862</v>
      </c>
      <c r="O15" s="47">
        <f t="shared" si="4"/>
        <v>185.48374015594715</v>
      </c>
      <c r="P15" s="47">
        <f t="shared" si="4"/>
        <v>192.64288731869823</v>
      </c>
      <c r="Q15" s="47">
        <f t="shared" si="4"/>
        <v>178.73121933378405</v>
      </c>
      <c r="R15" s="47">
        <f t="shared" si="4"/>
        <v>187.95133800638422</v>
      </c>
      <c r="S15" s="47">
        <f t="shared" si="4"/>
        <v>200.14839259871749</v>
      </c>
      <c r="T15" s="47">
        <f t="shared" si="4"/>
        <v>526.24907970186791</v>
      </c>
      <c r="U15" s="47">
        <f t="shared" si="4"/>
        <v>275.78026977594163</v>
      </c>
      <c r="V15" s="47">
        <f t="shared" si="4"/>
        <v>206.21719496130061</v>
      </c>
      <c r="W15" s="47">
        <f t="shared" si="4"/>
        <v>202.59608292447422</v>
      </c>
      <c r="X15" s="47">
        <f t="shared" si="4"/>
        <v>214.98187852155962</v>
      </c>
      <c r="Y15" s="47">
        <f t="shared" si="4"/>
        <v>237.16470206544162</v>
      </c>
      <c r="Z15" s="47">
        <f t="shared" si="4"/>
        <v>253.81967605323794</v>
      </c>
      <c r="AA15" s="47">
        <f t="shared" si="4"/>
        <v>233.77199625519026</v>
      </c>
      <c r="AB15" s="47">
        <f t="shared" si="4"/>
        <v>223.68331330566639</v>
      </c>
      <c r="AC15" s="47">
        <f t="shared" si="4"/>
        <v>217.20409111541503</v>
      </c>
      <c r="AD15" s="47">
        <f t="shared" si="4"/>
        <v>473.44466846984687</v>
      </c>
      <c r="AE15" s="47">
        <f t="shared" si="4"/>
        <v>514.2243913966355</v>
      </c>
    </row>
    <row r="16" spans="1:31" x14ac:dyDescent="0.25">
      <c r="A16" s="53" t="s">
        <v>67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f>+'Project costs'!E9</f>
        <v>127.33979854219814</v>
      </c>
      <c r="J16" s="181">
        <f>+I16</f>
        <v>127.33979854219814</v>
      </c>
      <c r="K16" s="181">
        <f>+J16</f>
        <v>127.33979854219814</v>
      </c>
      <c r="L16" s="181">
        <f>+K16</f>
        <v>127.33979854219814</v>
      </c>
      <c r="M16" s="181">
        <f>+L16</f>
        <v>127.33979854219814</v>
      </c>
      <c r="N16" s="181">
        <f>+M16</f>
        <v>127.33979854219814</v>
      </c>
      <c r="O16" s="181">
        <f t="shared" ref="O16:AE16" si="5">+N16</f>
        <v>127.33979854219814</v>
      </c>
      <c r="P16" s="181">
        <f t="shared" si="5"/>
        <v>127.33979854219814</v>
      </c>
      <c r="Q16" s="181">
        <f t="shared" si="5"/>
        <v>127.33979854219814</v>
      </c>
      <c r="R16" s="181">
        <f t="shared" si="5"/>
        <v>127.33979854219814</v>
      </c>
      <c r="S16" s="181">
        <f t="shared" si="5"/>
        <v>127.33979854219814</v>
      </c>
      <c r="T16" s="181">
        <f t="shared" si="5"/>
        <v>127.33979854219814</v>
      </c>
      <c r="U16" s="181">
        <f t="shared" si="5"/>
        <v>127.33979854219814</v>
      </c>
      <c r="V16" s="181">
        <f t="shared" si="5"/>
        <v>127.33979854219814</v>
      </c>
      <c r="W16" s="181">
        <f t="shared" si="5"/>
        <v>127.33979854219814</v>
      </c>
      <c r="X16" s="181">
        <f t="shared" si="5"/>
        <v>127.33979854219814</v>
      </c>
      <c r="Y16" s="181">
        <f t="shared" si="5"/>
        <v>127.33979854219814</v>
      </c>
      <c r="Z16" s="181">
        <f t="shared" si="5"/>
        <v>127.33979854219814</v>
      </c>
      <c r="AA16" s="181">
        <f t="shared" si="5"/>
        <v>127.33979854219814</v>
      </c>
      <c r="AB16" s="181">
        <f t="shared" si="5"/>
        <v>127.33979854219814</v>
      </c>
      <c r="AC16" s="181">
        <f t="shared" si="5"/>
        <v>127.33979854219814</v>
      </c>
      <c r="AD16" s="181">
        <f t="shared" si="5"/>
        <v>127.33979854219814</v>
      </c>
      <c r="AE16" s="181">
        <f t="shared" si="5"/>
        <v>127.33979854219814</v>
      </c>
    </row>
    <row r="17" spans="1:31" x14ac:dyDescent="0.25">
      <c r="A17" s="182" t="s">
        <v>68</v>
      </c>
      <c r="B17" s="156">
        <f>XNPV(SlowWACC,B15:AE15,$B$10:$AE$10)</f>
        <v>3003.5701259870939</v>
      </c>
      <c r="C17" s="134"/>
      <c r="D17" s="135"/>
      <c r="E17" s="136"/>
      <c r="F17" s="137"/>
      <c r="G17" s="9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</row>
    <row r="18" spans="1:31" x14ac:dyDescent="0.25">
      <c r="A18" s="182" t="s">
        <v>69</v>
      </c>
      <c r="B18" s="156">
        <f>+XNPV(SlowWACC,B16:AE16,$B$10:$AE$10)</f>
        <v>1542.3533297882439</v>
      </c>
      <c r="C18" s="134"/>
      <c r="D18" s="135"/>
      <c r="E18" s="136"/>
      <c r="F18" s="137"/>
      <c r="G18" s="97"/>
      <c r="H18" s="95"/>
      <c r="I18" s="95"/>
      <c r="J18" s="96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</row>
    <row r="19" spans="1:31" ht="15.75" thickBot="1" x14ac:dyDescent="0.3">
      <c r="A19" s="78" t="s">
        <v>119</v>
      </c>
      <c r="B19" s="157">
        <f>+B17-B18</f>
        <v>1461.21679619885</v>
      </c>
      <c r="C19" s="134"/>
      <c r="D19" s="135"/>
      <c r="E19" s="136"/>
      <c r="F19" s="137"/>
      <c r="G19" s="97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</row>
    <row r="20" spans="1:31" ht="16.5" thickTop="1" thickBot="1" x14ac:dyDescent="0.3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</row>
    <row r="21" spans="1:31" ht="15.75" thickTop="1" x14ac:dyDescent="0.25">
      <c r="A21" s="71" t="str">
        <f>+A2</f>
        <v>Option 2:  750 MW in 2027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</row>
    <row r="22" spans="1:31" x14ac:dyDescent="0.25">
      <c r="A22" s="73" t="s">
        <v>72</v>
      </c>
      <c r="B22" s="74" t="str">
        <f>+Overview!D7</f>
        <v>Central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</row>
    <row r="23" spans="1:31" x14ac:dyDescent="0.25">
      <c r="A23" s="2" t="s">
        <v>34</v>
      </c>
      <c r="B23" s="1">
        <v>0</v>
      </c>
      <c r="C23" s="1">
        <f>+B23+1</f>
        <v>1</v>
      </c>
      <c r="D23" s="1">
        <f t="shared" ref="D23:AE23" si="6">+C23+1</f>
        <v>2</v>
      </c>
      <c r="E23" s="1">
        <f t="shared" si="6"/>
        <v>3</v>
      </c>
      <c r="F23" s="1">
        <f t="shared" si="6"/>
        <v>4</v>
      </c>
      <c r="G23" s="1">
        <f t="shared" si="6"/>
        <v>5</v>
      </c>
      <c r="H23" s="8">
        <f t="shared" si="6"/>
        <v>6</v>
      </c>
      <c r="I23" s="1">
        <f t="shared" si="6"/>
        <v>7</v>
      </c>
      <c r="J23" s="1">
        <f t="shared" si="6"/>
        <v>8</v>
      </c>
      <c r="K23" s="1">
        <f t="shared" si="6"/>
        <v>9</v>
      </c>
      <c r="L23" s="1">
        <f t="shared" si="6"/>
        <v>10</v>
      </c>
      <c r="M23" s="1">
        <f t="shared" si="6"/>
        <v>11</v>
      </c>
      <c r="N23" s="1">
        <f t="shared" si="6"/>
        <v>12</v>
      </c>
      <c r="O23" s="1">
        <f t="shared" si="6"/>
        <v>13</v>
      </c>
      <c r="P23" s="1">
        <f t="shared" si="6"/>
        <v>14</v>
      </c>
      <c r="Q23" s="1">
        <f t="shared" si="6"/>
        <v>15</v>
      </c>
      <c r="R23" s="1">
        <f t="shared" si="6"/>
        <v>16</v>
      </c>
      <c r="S23" s="1">
        <f t="shared" si="6"/>
        <v>17</v>
      </c>
      <c r="T23" s="1">
        <f t="shared" si="6"/>
        <v>18</v>
      </c>
      <c r="U23" s="1">
        <f t="shared" si="6"/>
        <v>19</v>
      </c>
      <c r="V23" s="1">
        <f t="shared" si="6"/>
        <v>20</v>
      </c>
      <c r="W23" s="1">
        <f t="shared" si="6"/>
        <v>21</v>
      </c>
      <c r="X23" s="1">
        <f t="shared" si="6"/>
        <v>22</v>
      </c>
      <c r="Y23" s="1">
        <f t="shared" si="6"/>
        <v>23</v>
      </c>
      <c r="Z23" s="1">
        <f t="shared" si="6"/>
        <v>24</v>
      </c>
      <c r="AA23" s="1">
        <f t="shared" si="6"/>
        <v>25</v>
      </c>
      <c r="AB23" s="1">
        <f t="shared" si="6"/>
        <v>26</v>
      </c>
      <c r="AC23" s="1">
        <f t="shared" si="6"/>
        <v>27</v>
      </c>
      <c r="AD23" s="1">
        <f t="shared" si="6"/>
        <v>28</v>
      </c>
      <c r="AE23" s="1">
        <f t="shared" si="6"/>
        <v>29</v>
      </c>
    </row>
    <row r="24" spans="1:31" x14ac:dyDescent="0.25">
      <c r="A24" t="s">
        <v>35</v>
      </c>
      <c r="B24" s="4">
        <v>1</v>
      </c>
      <c r="C24" s="4">
        <f t="shared" ref="C24:AE24" si="7">1/((1+NotSlowWACC)^((C25-$B$10)/365))</f>
        <v>0.95419847328244267</v>
      </c>
      <c r="D24" s="4">
        <f t="shared" si="7"/>
        <v>0.91049472641454443</v>
      </c>
      <c r="E24" s="4">
        <f t="shared" si="7"/>
        <v>0.86879267787647374</v>
      </c>
      <c r="F24" s="4">
        <f t="shared" si="7"/>
        <v>0.82889417004246191</v>
      </c>
      <c r="G24" s="4">
        <f t="shared" si="7"/>
        <v>0.79092955156723455</v>
      </c>
      <c r="H24" s="4">
        <f t="shared" si="7"/>
        <v>0.75470377057942228</v>
      </c>
      <c r="I24" s="4">
        <f t="shared" si="7"/>
        <v>0.7201371856673876</v>
      </c>
      <c r="J24" s="4">
        <f t="shared" si="7"/>
        <v>0.68706554513038165</v>
      </c>
      <c r="K24" s="4">
        <f t="shared" si="7"/>
        <v>0.65559689420837941</v>
      </c>
      <c r="L24" s="4">
        <f t="shared" si="7"/>
        <v>0.62556955554234672</v>
      </c>
      <c r="M24" s="4">
        <f t="shared" si="7"/>
        <v>0.5969175148304835</v>
      </c>
      <c r="N24" s="4">
        <f t="shared" si="7"/>
        <v>0.56950462479561925</v>
      </c>
      <c r="O24" s="4">
        <f t="shared" si="7"/>
        <v>0.54342044350727026</v>
      </c>
      <c r="P24" s="4">
        <f t="shared" si="7"/>
        <v>0.51853095754510525</v>
      </c>
      <c r="Q24" s="4">
        <f t="shared" si="7"/>
        <v>0.49478144803922253</v>
      </c>
      <c r="R24" s="4">
        <f t="shared" si="7"/>
        <v>0.47205906330530845</v>
      </c>
      <c r="S24" s="4">
        <f t="shared" si="7"/>
        <v>0.45043803750506534</v>
      </c>
      <c r="T24" s="4">
        <f t="shared" si="7"/>
        <v>0.429807287695673</v>
      </c>
      <c r="U24" s="4">
        <f t="shared" si="7"/>
        <v>0.41012145772487879</v>
      </c>
      <c r="V24" s="4">
        <f t="shared" si="7"/>
        <v>0.39128700548947559</v>
      </c>
      <c r="W24" s="4">
        <f t="shared" si="7"/>
        <v>0.37336546325331643</v>
      </c>
      <c r="X24" s="4">
        <f t="shared" si="7"/>
        <v>0.35626475501270649</v>
      </c>
      <c r="Y24" s="4">
        <f t="shared" si="7"/>
        <v>0.33994728531746798</v>
      </c>
      <c r="Z24" s="4">
        <f t="shared" si="7"/>
        <v>0.32433551766359908</v>
      </c>
      <c r="AA24" s="4">
        <f t="shared" si="7"/>
        <v>0.30948045578587696</v>
      </c>
      <c r="AB24" s="4">
        <f t="shared" si="7"/>
        <v>0.29530577842163835</v>
      </c>
      <c r="AC24" s="4">
        <f t="shared" si="7"/>
        <v>0.28178032292141064</v>
      </c>
      <c r="AD24" s="4">
        <f t="shared" si="7"/>
        <v>0.26883981972906118</v>
      </c>
      <c r="AE24" s="4">
        <f t="shared" si="7"/>
        <v>0.25652654554299731</v>
      </c>
    </row>
    <row r="25" spans="1:31" x14ac:dyDescent="0.25">
      <c r="A25" s="5" t="s">
        <v>70</v>
      </c>
      <c r="B25" s="6">
        <f t="shared" ref="B25:AE26" si="8">+B10</f>
        <v>44013</v>
      </c>
      <c r="C25" s="6">
        <f t="shared" si="8"/>
        <v>44378</v>
      </c>
      <c r="D25" s="6">
        <f t="shared" si="8"/>
        <v>44743</v>
      </c>
      <c r="E25" s="6">
        <f t="shared" si="8"/>
        <v>45108</v>
      </c>
      <c r="F25" s="6">
        <f t="shared" si="8"/>
        <v>45474</v>
      </c>
      <c r="G25" s="6">
        <f t="shared" si="8"/>
        <v>45839</v>
      </c>
      <c r="H25" s="6">
        <f t="shared" si="8"/>
        <v>46204</v>
      </c>
      <c r="I25" s="6">
        <f t="shared" si="8"/>
        <v>46569</v>
      </c>
      <c r="J25" s="6">
        <f t="shared" si="8"/>
        <v>46935</v>
      </c>
      <c r="K25" s="6">
        <f t="shared" si="8"/>
        <v>47300</v>
      </c>
      <c r="L25" s="6">
        <f t="shared" si="8"/>
        <v>47665</v>
      </c>
      <c r="M25" s="6">
        <f t="shared" si="8"/>
        <v>48030</v>
      </c>
      <c r="N25" s="6">
        <f t="shared" si="8"/>
        <v>48396</v>
      </c>
      <c r="O25" s="6">
        <f t="shared" si="8"/>
        <v>48761</v>
      </c>
      <c r="P25" s="6">
        <f t="shared" si="8"/>
        <v>49126</v>
      </c>
      <c r="Q25" s="6">
        <f t="shared" si="8"/>
        <v>49491</v>
      </c>
      <c r="R25" s="6">
        <f t="shared" si="8"/>
        <v>49857</v>
      </c>
      <c r="S25" s="6">
        <f t="shared" si="8"/>
        <v>50222</v>
      </c>
      <c r="T25" s="6">
        <f t="shared" si="8"/>
        <v>50587</v>
      </c>
      <c r="U25" s="6">
        <f t="shared" si="8"/>
        <v>50952</v>
      </c>
      <c r="V25" s="6">
        <f t="shared" si="8"/>
        <v>51318</v>
      </c>
      <c r="W25" s="6">
        <f t="shared" si="8"/>
        <v>51683</v>
      </c>
      <c r="X25" s="6">
        <f t="shared" si="8"/>
        <v>52048</v>
      </c>
      <c r="Y25" s="6">
        <f t="shared" si="8"/>
        <v>52413</v>
      </c>
      <c r="Z25" s="6">
        <f t="shared" si="8"/>
        <v>52779</v>
      </c>
      <c r="AA25" s="6">
        <f t="shared" si="8"/>
        <v>53144</v>
      </c>
      <c r="AB25" s="6">
        <f t="shared" si="8"/>
        <v>53509</v>
      </c>
      <c r="AC25" s="6">
        <f t="shared" si="8"/>
        <v>53874</v>
      </c>
      <c r="AD25" s="6">
        <f t="shared" si="8"/>
        <v>54240</v>
      </c>
      <c r="AE25" s="6">
        <f t="shared" si="8"/>
        <v>54605</v>
      </c>
    </row>
    <row r="26" spans="1:31" x14ac:dyDescent="0.25">
      <c r="A26" s="179" t="s">
        <v>39</v>
      </c>
      <c r="B26" s="180" t="str">
        <f t="shared" si="8"/>
        <v>2020-21</v>
      </c>
      <c r="C26" s="180" t="str">
        <f t="shared" si="8"/>
        <v>2021-22</v>
      </c>
      <c r="D26" s="180" t="str">
        <f t="shared" si="8"/>
        <v>2022-23</v>
      </c>
      <c r="E26" s="180" t="str">
        <f t="shared" si="8"/>
        <v>2023-24</v>
      </c>
      <c r="F26" s="180" t="str">
        <f t="shared" si="8"/>
        <v>2024-25</v>
      </c>
      <c r="G26" s="180" t="str">
        <f t="shared" si="8"/>
        <v>2025-26</v>
      </c>
      <c r="H26" s="180" t="str">
        <f t="shared" si="8"/>
        <v>2026-27</v>
      </c>
      <c r="I26" s="180" t="str">
        <f t="shared" si="8"/>
        <v>2027-28</v>
      </c>
      <c r="J26" s="180" t="str">
        <f t="shared" si="8"/>
        <v>2028-29</v>
      </c>
      <c r="K26" s="180" t="str">
        <f t="shared" si="8"/>
        <v>2029-30</v>
      </c>
      <c r="L26" s="180" t="str">
        <f t="shared" si="8"/>
        <v>2030-31</v>
      </c>
      <c r="M26" s="180" t="str">
        <f t="shared" si="8"/>
        <v>2031-32</v>
      </c>
      <c r="N26" s="180" t="str">
        <f t="shared" si="8"/>
        <v>2032-33</v>
      </c>
      <c r="O26" s="180" t="str">
        <f t="shared" si="8"/>
        <v>2033-34</v>
      </c>
      <c r="P26" s="180" t="str">
        <f t="shared" si="8"/>
        <v>2034-35</v>
      </c>
      <c r="Q26" s="180" t="str">
        <f t="shared" si="8"/>
        <v>2035-36</v>
      </c>
      <c r="R26" s="180" t="str">
        <f t="shared" si="8"/>
        <v>2036-37</v>
      </c>
      <c r="S26" s="180" t="str">
        <f t="shared" si="8"/>
        <v>2037-38</v>
      </c>
      <c r="T26" s="180" t="str">
        <f t="shared" si="8"/>
        <v>2038-39</v>
      </c>
      <c r="U26" s="180" t="str">
        <f t="shared" si="8"/>
        <v>2039-40</v>
      </c>
      <c r="V26" s="180" t="str">
        <f t="shared" si="8"/>
        <v>2040-41</v>
      </c>
      <c r="W26" s="180" t="str">
        <f t="shared" si="8"/>
        <v>2041-42</v>
      </c>
      <c r="X26" s="180" t="str">
        <f t="shared" si="8"/>
        <v>2042-43</v>
      </c>
      <c r="Y26" s="180" t="str">
        <f t="shared" si="8"/>
        <v>2043-44</v>
      </c>
      <c r="Z26" s="180" t="str">
        <f t="shared" si="8"/>
        <v>2044-45</v>
      </c>
      <c r="AA26" s="180" t="str">
        <f t="shared" si="8"/>
        <v>2045-46</v>
      </c>
      <c r="AB26" s="180" t="str">
        <f t="shared" si="8"/>
        <v>2046-47</v>
      </c>
      <c r="AC26" s="180" t="str">
        <f t="shared" si="8"/>
        <v>2047-48</v>
      </c>
      <c r="AD26" s="180" t="str">
        <f t="shared" si="8"/>
        <v>2048-49</v>
      </c>
      <c r="AE26" s="180" t="str">
        <f t="shared" si="8"/>
        <v>2049-50</v>
      </c>
    </row>
    <row r="27" spans="1:31" x14ac:dyDescent="0.25">
      <c r="A27" s="52" t="str">
        <f>+A12</f>
        <v>Market benefits (PV at 2020)</v>
      </c>
      <c r="B27" s="77">
        <v>0</v>
      </c>
      <c r="C27" s="77">
        <v>-0.25724017204759475</v>
      </c>
      <c r="D27" s="77">
        <v>-2.2750408722942264</v>
      </c>
      <c r="E27" s="77">
        <v>-2.6351228029118396</v>
      </c>
      <c r="F27" s="77">
        <v>2.5695213444600506</v>
      </c>
      <c r="G27" s="77">
        <v>50.736525625606767</v>
      </c>
      <c r="H27" s="77">
        <v>-20.581040563403445</v>
      </c>
      <c r="I27" s="77">
        <v>33.518846242580814</v>
      </c>
      <c r="J27" s="77">
        <v>61.429894638406495</v>
      </c>
      <c r="K27" s="77">
        <v>51.924453054048286</v>
      </c>
      <c r="L27" s="77">
        <v>44.934734543695733</v>
      </c>
      <c r="M27" s="77">
        <v>49.24899910745723</v>
      </c>
      <c r="N27" s="77">
        <v>110.46519203099609</v>
      </c>
      <c r="O27" s="77">
        <v>106.00508045353637</v>
      </c>
      <c r="P27" s="77">
        <v>108.20518094173418</v>
      </c>
      <c r="Q27" s="77">
        <v>116.5848441744282</v>
      </c>
      <c r="R27" s="77">
        <v>113.69908520026151</v>
      </c>
      <c r="S27" s="77">
        <v>175.10164489209669</v>
      </c>
      <c r="T27" s="77">
        <v>141.37162512305804</v>
      </c>
      <c r="U27" s="77">
        <v>146.91545897158807</v>
      </c>
      <c r="V27" s="77">
        <v>158.15675267406368</v>
      </c>
      <c r="W27" s="77">
        <v>140.44279395781311</v>
      </c>
      <c r="X27" s="77">
        <v>156.38169898651617</v>
      </c>
      <c r="Y27" s="77">
        <v>147.13405668765407</v>
      </c>
      <c r="Z27" s="77">
        <v>133.17369768697787</v>
      </c>
      <c r="AA27" s="77">
        <v>127.38199804306502</v>
      </c>
      <c r="AB27" s="77">
        <v>131.23655172644993</v>
      </c>
      <c r="AC27" s="77">
        <v>126.85312188056236</v>
      </c>
      <c r="AD27" s="77">
        <v>137.41553271286389</v>
      </c>
      <c r="AE27" s="77">
        <v>130.98481374419927</v>
      </c>
    </row>
    <row r="28" spans="1:31" x14ac:dyDescent="0.25">
      <c r="A28" s="48" t="s">
        <v>42</v>
      </c>
      <c r="B28" s="49">
        <f t="shared" ref="B28:AE28" si="9">+B27/B24</f>
        <v>0</v>
      </c>
      <c r="C28" s="49">
        <f t="shared" si="9"/>
        <v>-0.26958770030587931</v>
      </c>
      <c r="D28" s="49">
        <f t="shared" si="9"/>
        <v>-2.4986864902042383</v>
      </c>
      <c r="E28" s="49">
        <f t="shared" si="9"/>
        <v>-3.0330858788458914</v>
      </c>
      <c r="F28" s="49">
        <f t="shared" si="9"/>
        <v>3.0999389757179996</v>
      </c>
      <c r="G28" s="49">
        <f t="shared" si="9"/>
        <v>64.14797060632246</v>
      </c>
      <c r="H28" s="49">
        <f t="shared" si="9"/>
        <v>-27.270356086338872</v>
      </c>
      <c r="I28" s="49">
        <f t="shared" si="9"/>
        <v>46.545084616783399</v>
      </c>
      <c r="J28" s="49">
        <f t="shared" si="9"/>
        <v>89.409074685515179</v>
      </c>
      <c r="K28" s="49">
        <f t="shared" si="9"/>
        <v>79.201798411119782</v>
      </c>
      <c r="L28" s="49">
        <f t="shared" si="9"/>
        <v>71.830117283663057</v>
      </c>
      <c r="M28" s="49">
        <f t="shared" si="9"/>
        <v>82.505535327512177</v>
      </c>
      <c r="N28" s="49">
        <f t="shared" si="9"/>
        <v>193.96715535126557</v>
      </c>
      <c r="O28" s="49">
        <f t="shared" si="9"/>
        <v>195.07010036165147</v>
      </c>
      <c r="P28" s="49">
        <f t="shared" si="9"/>
        <v>208.67641433408878</v>
      </c>
      <c r="Q28" s="49">
        <f t="shared" si="9"/>
        <v>235.62897242094297</v>
      </c>
      <c r="R28" s="49">
        <f t="shared" si="9"/>
        <v>240.85775285014623</v>
      </c>
      <c r="S28" s="49">
        <f t="shared" si="9"/>
        <v>388.73636396688102</v>
      </c>
      <c r="T28" s="49">
        <f t="shared" si="9"/>
        <v>328.91863207111754</v>
      </c>
      <c r="U28" s="49">
        <f t="shared" si="9"/>
        <v>358.22426796830308</v>
      </c>
      <c r="V28" s="49">
        <f t="shared" si="9"/>
        <v>404.19628164298342</v>
      </c>
      <c r="W28" s="49">
        <f t="shared" si="9"/>
        <v>376.15368259845502</v>
      </c>
      <c r="X28" s="49">
        <f t="shared" si="9"/>
        <v>438.94799243034493</v>
      </c>
      <c r="Y28" s="49">
        <f t="shared" si="9"/>
        <v>432.81433046376401</v>
      </c>
      <c r="Z28" s="49">
        <f t="shared" si="9"/>
        <v>410.60473008418916</v>
      </c>
      <c r="AA28" s="49">
        <f t="shared" si="9"/>
        <v>411.59949089385458</v>
      </c>
      <c r="AB28" s="49">
        <f t="shared" si="9"/>
        <v>444.40902046647403</v>
      </c>
      <c r="AC28" s="49">
        <f t="shared" si="9"/>
        <v>450.18445775556182</v>
      </c>
      <c r="AD28" s="49">
        <f t="shared" si="9"/>
        <v>511.14277956052905</v>
      </c>
      <c r="AE28" s="49">
        <f t="shared" si="9"/>
        <v>510.60919822913394</v>
      </c>
    </row>
    <row r="29" spans="1:31" x14ac:dyDescent="0.25">
      <c r="A29" s="50" t="s">
        <v>40</v>
      </c>
      <c r="B29" s="51">
        <f t="shared" ref="B29:H29" si="10">+B14</f>
        <v>0</v>
      </c>
      <c r="C29" s="51">
        <f t="shared" si="10"/>
        <v>0</v>
      </c>
      <c r="D29" s="51">
        <f t="shared" si="10"/>
        <v>0</v>
      </c>
      <c r="E29" s="51">
        <f t="shared" si="10"/>
        <v>0</v>
      </c>
      <c r="F29" s="51">
        <f t="shared" si="10"/>
        <v>0</v>
      </c>
      <c r="G29" s="51">
        <f t="shared" si="10"/>
        <v>0</v>
      </c>
      <c r="H29" s="51">
        <f t="shared" si="10"/>
        <v>0</v>
      </c>
      <c r="I29" s="51">
        <f>+I14</f>
        <v>15.788363499540408</v>
      </c>
      <c r="J29" s="51">
        <f t="shared" ref="J29:AE29" si="11">+J14</f>
        <v>15.876122651112929</v>
      </c>
      <c r="K29" s="51">
        <f t="shared" si="11"/>
        <v>15.961779131322926</v>
      </c>
      <c r="L29" s="51">
        <f t="shared" si="11"/>
        <v>16.048292176335021</v>
      </c>
      <c r="M29" s="51">
        <f t="shared" si="11"/>
        <v>16.135670351797238</v>
      </c>
      <c r="N29" s="51">
        <f t="shared" si="11"/>
        <v>16.223922309014075</v>
      </c>
      <c r="O29" s="51">
        <f t="shared" si="11"/>
        <v>16.313056785803084</v>
      </c>
      <c r="P29" s="51">
        <f t="shared" si="11"/>
        <v>16.40308260735998</v>
      </c>
      <c r="Q29" s="51">
        <f t="shared" si="11"/>
        <v>16.49400868713245</v>
      </c>
      <c r="R29" s="51">
        <f t="shared" si="11"/>
        <v>16.585844027702642</v>
      </c>
      <c r="S29" s="51">
        <f t="shared" si="11"/>
        <v>16.678597721678535</v>
      </c>
      <c r="T29" s="51">
        <f t="shared" si="11"/>
        <v>16.772278952594188</v>
      </c>
      <c r="U29" s="51">
        <f t="shared" si="11"/>
        <v>16.866896995818998</v>
      </c>
      <c r="V29" s="51">
        <f t="shared" si="11"/>
        <v>16.962461219476054</v>
      </c>
      <c r="W29" s="51">
        <f t="shared" si="11"/>
        <v>17.058981085369684</v>
      </c>
      <c r="X29" s="51">
        <f t="shared" si="11"/>
        <v>17.156466149922252</v>
      </c>
      <c r="Y29" s="51">
        <f t="shared" si="11"/>
        <v>17.25492606512034</v>
      </c>
      <c r="Z29" s="51">
        <f t="shared" si="11"/>
        <v>17.354370579470412</v>
      </c>
      <c r="AA29" s="51">
        <f t="shared" si="11"/>
        <v>17.454809538963978</v>
      </c>
      <c r="AB29" s="51">
        <f t="shared" si="11"/>
        <v>17.556252888052487</v>
      </c>
      <c r="AC29" s="51">
        <f t="shared" si="11"/>
        <v>17.658710670631876</v>
      </c>
      <c r="AD29" s="51">
        <f t="shared" si="11"/>
        <v>17.762193031037071</v>
      </c>
      <c r="AE29" s="51">
        <f t="shared" si="11"/>
        <v>17.866710215046304</v>
      </c>
    </row>
    <row r="30" spans="1:31" x14ac:dyDescent="0.25">
      <c r="A30" s="46" t="s">
        <v>41</v>
      </c>
      <c r="B30" s="47">
        <f>+B29+B28</f>
        <v>0</v>
      </c>
      <c r="C30" s="47">
        <f t="shared" ref="C30:AE30" si="12">+C29+C28</f>
        <v>-0.26958770030587931</v>
      </c>
      <c r="D30" s="47">
        <f t="shared" si="12"/>
        <v>-2.4986864902042383</v>
      </c>
      <c r="E30" s="47">
        <f t="shared" si="12"/>
        <v>-3.0330858788458914</v>
      </c>
      <c r="F30" s="47">
        <f t="shared" si="12"/>
        <v>3.0999389757179996</v>
      </c>
      <c r="G30" s="47">
        <f t="shared" si="12"/>
        <v>64.14797060632246</v>
      </c>
      <c r="H30" s="47">
        <f t="shared" si="12"/>
        <v>-27.270356086338872</v>
      </c>
      <c r="I30" s="47">
        <f t="shared" si="12"/>
        <v>62.333448116323808</v>
      </c>
      <c r="J30" s="47">
        <f t="shared" si="12"/>
        <v>105.2851973366281</v>
      </c>
      <c r="K30" s="47">
        <f t="shared" si="12"/>
        <v>95.16357754244271</v>
      </c>
      <c r="L30" s="47">
        <f t="shared" si="12"/>
        <v>87.878409459998082</v>
      </c>
      <c r="M30" s="47">
        <f t="shared" si="12"/>
        <v>98.641205679309422</v>
      </c>
      <c r="N30" s="47">
        <f t="shared" si="12"/>
        <v>210.19107766027966</v>
      </c>
      <c r="O30" s="47">
        <f t="shared" si="12"/>
        <v>211.38315714745454</v>
      </c>
      <c r="P30" s="47">
        <f t="shared" si="12"/>
        <v>225.07949694144875</v>
      </c>
      <c r="Q30" s="47">
        <f t="shared" si="12"/>
        <v>252.12298110807541</v>
      </c>
      <c r="R30" s="47">
        <f t="shared" si="12"/>
        <v>257.44359687784885</v>
      </c>
      <c r="S30" s="47">
        <f t="shared" si="12"/>
        <v>405.41496168855957</v>
      </c>
      <c r="T30" s="47">
        <f t="shared" si="12"/>
        <v>345.69091102371175</v>
      </c>
      <c r="U30" s="47">
        <f t="shared" si="12"/>
        <v>375.09116496412207</v>
      </c>
      <c r="V30" s="47">
        <f t="shared" si="12"/>
        <v>421.15874286245946</v>
      </c>
      <c r="W30" s="47">
        <f t="shared" si="12"/>
        <v>393.2126636838247</v>
      </c>
      <c r="X30" s="47">
        <f t="shared" si="12"/>
        <v>456.10445858026719</v>
      </c>
      <c r="Y30" s="47">
        <f t="shared" si="12"/>
        <v>450.06925652888435</v>
      </c>
      <c r="Z30" s="47">
        <f t="shared" si="12"/>
        <v>427.95910066365957</v>
      </c>
      <c r="AA30" s="47">
        <f t="shared" si="12"/>
        <v>429.05430043281854</v>
      </c>
      <c r="AB30" s="47">
        <f t="shared" si="12"/>
        <v>461.96527335452652</v>
      </c>
      <c r="AC30" s="47">
        <f t="shared" si="12"/>
        <v>467.8431684261937</v>
      </c>
      <c r="AD30" s="47">
        <f t="shared" si="12"/>
        <v>528.90497259156609</v>
      </c>
      <c r="AE30" s="47">
        <f t="shared" si="12"/>
        <v>528.47590844418028</v>
      </c>
    </row>
    <row r="31" spans="1:31" x14ac:dyDescent="0.25">
      <c r="A31" s="53" t="s">
        <v>67</v>
      </c>
      <c r="B31" s="181">
        <v>0</v>
      </c>
      <c r="C31" s="181">
        <v>0</v>
      </c>
      <c r="D31" s="181">
        <v>0</v>
      </c>
      <c r="E31" s="181">
        <v>0</v>
      </c>
      <c r="F31" s="181">
        <v>0</v>
      </c>
      <c r="G31" s="181">
        <v>0</v>
      </c>
      <c r="H31" s="181">
        <v>0</v>
      </c>
      <c r="I31" s="181">
        <f>+'Project costs'!C9</f>
        <v>142.82816755571437</v>
      </c>
      <c r="J31" s="181">
        <f>+I31</f>
        <v>142.82816755571437</v>
      </c>
      <c r="K31" s="181">
        <f>+J31</f>
        <v>142.82816755571437</v>
      </c>
      <c r="L31" s="181">
        <f>+K31</f>
        <v>142.82816755571437</v>
      </c>
      <c r="M31" s="181">
        <f>+L31</f>
        <v>142.82816755571437</v>
      </c>
      <c r="N31" s="181">
        <f>+M31</f>
        <v>142.82816755571437</v>
      </c>
      <c r="O31" s="181">
        <f t="shared" ref="O31:AE31" si="13">+N31</f>
        <v>142.82816755571437</v>
      </c>
      <c r="P31" s="181">
        <f t="shared" si="13"/>
        <v>142.82816755571437</v>
      </c>
      <c r="Q31" s="181">
        <f t="shared" si="13"/>
        <v>142.82816755571437</v>
      </c>
      <c r="R31" s="181">
        <f t="shared" si="13"/>
        <v>142.82816755571437</v>
      </c>
      <c r="S31" s="181">
        <f t="shared" si="13"/>
        <v>142.82816755571437</v>
      </c>
      <c r="T31" s="181">
        <f t="shared" si="13"/>
        <v>142.82816755571437</v>
      </c>
      <c r="U31" s="181">
        <f t="shared" si="13"/>
        <v>142.82816755571437</v>
      </c>
      <c r="V31" s="181">
        <f t="shared" si="13"/>
        <v>142.82816755571437</v>
      </c>
      <c r="W31" s="181">
        <f t="shared" si="13"/>
        <v>142.82816755571437</v>
      </c>
      <c r="X31" s="181">
        <f t="shared" si="13"/>
        <v>142.82816755571437</v>
      </c>
      <c r="Y31" s="181">
        <f t="shared" si="13"/>
        <v>142.82816755571437</v>
      </c>
      <c r="Z31" s="181">
        <f t="shared" si="13"/>
        <v>142.82816755571437</v>
      </c>
      <c r="AA31" s="181">
        <f t="shared" si="13"/>
        <v>142.82816755571437</v>
      </c>
      <c r="AB31" s="181">
        <f t="shared" si="13"/>
        <v>142.82816755571437</v>
      </c>
      <c r="AC31" s="181">
        <f t="shared" si="13"/>
        <v>142.82816755571437</v>
      </c>
      <c r="AD31" s="181">
        <f t="shared" si="13"/>
        <v>142.82816755571437</v>
      </c>
      <c r="AE31" s="181">
        <f t="shared" si="13"/>
        <v>142.82816755571437</v>
      </c>
    </row>
    <row r="32" spans="1:31" x14ac:dyDescent="0.25">
      <c r="A32" t="s">
        <v>68</v>
      </c>
      <c r="B32" s="43">
        <f>XNPV(NotSlowWACC,B30:AE30,$B$10:$AE$10)</f>
        <v>2848.3100505713069</v>
      </c>
      <c r="C32" s="134"/>
      <c r="D32" s="135"/>
      <c r="E32" s="136"/>
      <c r="F32" s="137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</row>
    <row r="33" spans="1:31" x14ac:dyDescent="0.25">
      <c r="A33" t="s">
        <v>69</v>
      </c>
      <c r="B33" s="43">
        <f>+XNPV(NotSlowWACC,B31:AE31,$B$10:$AE$10)</f>
        <v>1481.2827754070554</v>
      </c>
      <c r="C33" s="134"/>
      <c r="D33" s="135"/>
      <c r="E33" s="136"/>
      <c r="F33" s="137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</row>
    <row r="34" spans="1:31" ht="15.75" thickBot="1" x14ac:dyDescent="0.3">
      <c r="A34" s="1" t="s">
        <v>119</v>
      </c>
      <c r="B34" s="68">
        <f>+B32-B33</f>
        <v>1367.0272751642515</v>
      </c>
      <c r="C34" s="134"/>
      <c r="D34" s="135"/>
      <c r="E34" s="136"/>
      <c r="F34" s="137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</row>
    <row r="35" spans="1:31" ht="16.5" thickTop="1" thickBot="1" x14ac:dyDescent="0.3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</row>
    <row r="36" spans="1:31" ht="15.75" thickTop="1" x14ac:dyDescent="0.25">
      <c r="A36" s="71" t="str">
        <f>+A2</f>
        <v>Option 2:  750 MW in 2027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</row>
    <row r="37" spans="1:31" x14ac:dyDescent="0.25">
      <c r="A37" s="73" t="s">
        <v>72</v>
      </c>
      <c r="B37" s="74" t="str">
        <f>+Overview!D8</f>
        <v>High DER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</row>
    <row r="38" spans="1:31" x14ac:dyDescent="0.25">
      <c r="A38" s="2" t="s">
        <v>34</v>
      </c>
      <c r="B38" s="1">
        <v>0</v>
      </c>
      <c r="C38" s="1">
        <f>+B38+1</f>
        <v>1</v>
      </c>
      <c r="D38" s="1">
        <f t="shared" ref="D38:AE38" si="14">+C38+1</f>
        <v>2</v>
      </c>
      <c r="E38" s="1">
        <f t="shared" si="14"/>
        <v>3</v>
      </c>
      <c r="F38" s="1">
        <f t="shared" si="14"/>
        <v>4</v>
      </c>
      <c r="G38" s="1">
        <f t="shared" si="14"/>
        <v>5</v>
      </c>
      <c r="H38" s="8">
        <f t="shared" si="14"/>
        <v>6</v>
      </c>
      <c r="I38" s="1">
        <f t="shared" si="14"/>
        <v>7</v>
      </c>
      <c r="J38" s="1">
        <f t="shared" si="14"/>
        <v>8</v>
      </c>
      <c r="K38" s="1">
        <f t="shared" si="14"/>
        <v>9</v>
      </c>
      <c r="L38" s="1">
        <f t="shared" si="14"/>
        <v>10</v>
      </c>
      <c r="M38" s="1">
        <f t="shared" si="14"/>
        <v>11</v>
      </c>
      <c r="N38" s="1">
        <f t="shared" si="14"/>
        <v>12</v>
      </c>
      <c r="O38" s="1">
        <f t="shared" si="14"/>
        <v>13</v>
      </c>
      <c r="P38" s="1">
        <f t="shared" si="14"/>
        <v>14</v>
      </c>
      <c r="Q38" s="1">
        <f t="shared" si="14"/>
        <v>15</v>
      </c>
      <c r="R38" s="1">
        <f t="shared" si="14"/>
        <v>16</v>
      </c>
      <c r="S38" s="1">
        <f t="shared" si="14"/>
        <v>17</v>
      </c>
      <c r="T38" s="1">
        <f t="shared" si="14"/>
        <v>18</v>
      </c>
      <c r="U38" s="1">
        <f t="shared" si="14"/>
        <v>19</v>
      </c>
      <c r="V38" s="1">
        <f t="shared" si="14"/>
        <v>20</v>
      </c>
      <c r="W38" s="1">
        <f t="shared" si="14"/>
        <v>21</v>
      </c>
      <c r="X38" s="1">
        <f t="shared" si="14"/>
        <v>22</v>
      </c>
      <c r="Y38" s="1">
        <f t="shared" si="14"/>
        <v>23</v>
      </c>
      <c r="Z38" s="1">
        <f t="shared" si="14"/>
        <v>24</v>
      </c>
      <c r="AA38" s="1">
        <f t="shared" si="14"/>
        <v>25</v>
      </c>
      <c r="AB38" s="1">
        <f t="shared" si="14"/>
        <v>26</v>
      </c>
      <c r="AC38" s="1">
        <f t="shared" si="14"/>
        <v>27</v>
      </c>
      <c r="AD38" s="1">
        <f t="shared" si="14"/>
        <v>28</v>
      </c>
      <c r="AE38" s="1">
        <f t="shared" si="14"/>
        <v>29</v>
      </c>
    </row>
    <row r="39" spans="1:31" x14ac:dyDescent="0.25">
      <c r="A39" t="s">
        <v>35</v>
      </c>
      <c r="B39" s="4">
        <v>1</v>
      </c>
      <c r="C39" s="4">
        <f t="shared" ref="C39:AE39" si="15">1/((1+NotSlowWACC)^((C40-$B$10)/365))</f>
        <v>0.95419847328244267</v>
      </c>
      <c r="D39" s="4">
        <f t="shared" si="15"/>
        <v>0.91049472641454443</v>
      </c>
      <c r="E39" s="4">
        <f t="shared" si="15"/>
        <v>0.86879267787647374</v>
      </c>
      <c r="F39" s="4">
        <f t="shared" si="15"/>
        <v>0.82889417004246191</v>
      </c>
      <c r="G39" s="4">
        <f t="shared" si="15"/>
        <v>0.79092955156723455</v>
      </c>
      <c r="H39" s="4">
        <f t="shared" si="15"/>
        <v>0.75470377057942228</v>
      </c>
      <c r="I39" s="4">
        <f t="shared" si="15"/>
        <v>0.7201371856673876</v>
      </c>
      <c r="J39" s="4">
        <f t="shared" si="15"/>
        <v>0.68706554513038165</v>
      </c>
      <c r="K39" s="4">
        <f t="shared" si="15"/>
        <v>0.65559689420837941</v>
      </c>
      <c r="L39" s="4">
        <f t="shared" si="15"/>
        <v>0.62556955554234672</v>
      </c>
      <c r="M39" s="4">
        <f t="shared" si="15"/>
        <v>0.5969175148304835</v>
      </c>
      <c r="N39" s="4">
        <f t="shared" si="15"/>
        <v>0.56950462479561925</v>
      </c>
      <c r="O39" s="4">
        <f t="shared" si="15"/>
        <v>0.54342044350727026</v>
      </c>
      <c r="P39" s="4">
        <f t="shared" si="15"/>
        <v>0.51853095754510525</v>
      </c>
      <c r="Q39" s="4">
        <f t="shared" si="15"/>
        <v>0.49478144803922253</v>
      </c>
      <c r="R39" s="4">
        <f t="shared" si="15"/>
        <v>0.47205906330530845</v>
      </c>
      <c r="S39" s="4">
        <f t="shared" si="15"/>
        <v>0.45043803750506534</v>
      </c>
      <c r="T39" s="4">
        <f t="shared" si="15"/>
        <v>0.429807287695673</v>
      </c>
      <c r="U39" s="4">
        <f t="shared" si="15"/>
        <v>0.41012145772487879</v>
      </c>
      <c r="V39" s="4">
        <f t="shared" si="15"/>
        <v>0.39128700548947559</v>
      </c>
      <c r="W39" s="4">
        <f t="shared" si="15"/>
        <v>0.37336546325331643</v>
      </c>
      <c r="X39" s="4">
        <f t="shared" si="15"/>
        <v>0.35626475501270649</v>
      </c>
      <c r="Y39" s="4">
        <f t="shared" si="15"/>
        <v>0.33994728531746798</v>
      </c>
      <c r="Z39" s="4">
        <f t="shared" si="15"/>
        <v>0.32433551766359908</v>
      </c>
      <c r="AA39" s="4">
        <f t="shared" si="15"/>
        <v>0.30948045578587696</v>
      </c>
      <c r="AB39" s="4">
        <f t="shared" si="15"/>
        <v>0.29530577842163835</v>
      </c>
      <c r="AC39" s="4">
        <f t="shared" si="15"/>
        <v>0.28178032292141064</v>
      </c>
      <c r="AD39" s="4">
        <f t="shared" si="15"/>
        <v>0.26883981972906118</v>
      </c>
      <c r="AE39" s="4">
        <f t="shared" si="15"/>
        <v>0.25652654554299731</v>
      </c>
    </row>
    <row r="40" spans="1:31" x14ac:dyDescent="0.25">
      <c r="A40" s="5" t="s">
        <v>70</v>
      </c>
      <c r="B40" s="6">
        <f>+B25</f>
        <v>44013</v>
      </c>
      <c r="C40" s="6">
        <f>EDATE(B40,12)</f>
        <v>44378</v>
      </c>
      <c r="D40" s="6">
        <f t="shared" ref="D40:AE40" si="16">EDATE(C40,12)</f>
        <v>44743</v>
      </c>
      <c r="E40" s="6">
        <f t="shared" si="16"/>
        <v>45108</v>
      </c>
      <c r="F40" s="6">
        <f t="shared" si="16"/>
        <v>45474</v>
      </c>
      <c r="G40" s="6">
        <f t="shared" si="16"/>
        <v>45839</v>
      </c>
      <c r="H40" s="6">
        <f t="shared" si="16"/>
        <v>46204</v>
      </c>
      <c r="I40" s="6">
        <f t="shared" si="16"/>
        <v>46569</v>
      </c>
      <c r="J40" s="6">
        <f t="shared" si="16"/>
        <v>46935</v>
      </c>
      <c r="K40" s="6">
        <f t="shared" si="16"/>
        <v>47300</v>
      </c>
      <c r="L40" s="6">
        <f t="shared" si="16"/>
        <v>47665</v>
      </c>
      <c r="M40" s="6">
        <f t="shared" si="16"/>
        <v>48030</v>
      </c>
      <c r="N40" s="6">
        <f t="shared" si="16"/>
        <v>48396</v>
      </c>
      <c r="O40" s="6">
        <f t="shared" si="16"/>
        <v>48761</v>
      </c>
      <c r="P40" s="6">
        <f t="shared" si="16"/>
        <v>49126</v>
      </c>
      <c r="Q40" s="6">
        <f t="shared" si="16"/>
        <v>49491</v>
      </c>
      <c r="R40" s="6">
        <f t="shared" si="16"/>
        <v>49857</v>
      </c>
      <c r="S40" s="6">
        <f t="shared" si="16"/>
        <v>50222</v>
      </c>
      <c r="T40" s="6">
        <f t="shared" si="16"/>
        <v>50587</v>
      </c>
      <c r="U40" s="6">
        <f t="shared" si="16"/>
        <v>50952</v>
      </c>
      <c r="V40" s="6">
        <f t="shared" si="16"/>
        <v>51318</v>
      </c>
      <c r="W40" s="6">
        <f t="shared" si="16"/>
        <v>51683</v>
      </c>
      <c r="X40" s="6">
        <f t="shared" si="16"/>
        <v>52048</v>
      </c>
      <c r="Y40" s="6">
        <f t="shared" si="16"/>
        <v>52413</v>
      </c>
      <c r="Z40" s="6">
        <f t="shared" si="16"/>
        <v>52779</v>
      </c>
      <c r="AA40" s="6">
        <f t="shared" si="16"/>
        <v>53144</v>
      </c>
      <c r="AB40" s="6">
        <f t="shared" si="16"/>
        <v>53509</v>
      </c>
      <c r="AC40" s="6">
        <f t="shared" si="16"/>
        <v>53874</v>
      </c>
      <c r="AD40" s="6">
        <f t="shared" si="16"/>
        <v>54240</v>
      </c>
      <c r="AE40" s="6">
        <f t="shared" si="16"/>
        <v>54605</v>
      </c>
    </row>
    <row r="41" spans="1:31" x14ac:dyDescent="0.25">
      <c r="A41" s="179" t="s">
        <v>39</v>
      </c>
      <c r="B41" s="180" t="str">
        <f>+B26</f>
        <v>2020-21</v>
      </c>
      <c r="C41" s="180" t="str">
        <f t="shared" ref="C41:AE41" si="17">+C26</f>
        <v>2021-22</v>
      </c>
      <c r="D41" s="180" t="str">
        <f t="shared" si="17"/>
        <v>2022-23</v>
      </c>
      <c r="E41" s="180" t="str">
        <f t="shared" si="17"/>
        <v>2023-24</v>
      </c>
      <c r="F41" s="180" t="str">
        <f t="shared" si="17"/>
        <v>2024-25</v>
      </c>
      <c r="G41" s="180" t="str">
        <f t="shared" si="17"/>
        <v>2025-26</v>
      </c>
      <c r="H41" s="180" t="str">
        <f t="shared" si="17"/>
        <v>2026-27</v>
      </c>
      <c r="I41" s="180" t="str">
        <f t="shared" si="17"/>
        <v>2027-28</v>
      </c>
      <c r="J41" s="180" t="str">
        <f t="shared" si="17"/>
        <v>2028-29</v>
      </c>
      <c r="K41" s="180" t="str">
        <f t="shared" si="17"/>
        <v>2029-30</v>
      </c>
      <c r="L41" s="180" t="str">
        <f t="shared" si="17"/>
        <v>2030-31</v>
      </c>
      <c r="M41" s="180" t="str">
        <f t="shared" si="17"/>
        <v>2031-32</v>
      </c>
      <c r="N41" s="180" t="str">
        <f t="shared" si="17"/>
        <v>2032-33</v>
      </c>
      <c r="O41" s="180" t="str">
        <f t="shared" si="17"/>
        <v>2033-34</v>
      </c>
      <c r="P41" s="180" t="str">
        <f t="shared" si="17"/>
        <v>2034-35</v>
      </c>
      <c r="Q41" s="180" t="str">
        <f t="shared" si="17"/>
        <v>2035-36</v>
      </c>
      <c r="R41" s="180" t="str">
        <f t="shared" si="17"/>
        <v>2036-37</v>
      </c>
      <c r="S41" s="180" t="str">
        <f t="shared" si="17"/>
        <v>2037-38</v>
      </c>
      <c r="T41" s="180" t="str">
        <f t="shared" si="17"/>
        <v>2038-39</v>
      </c>
      <c r="U41" s="180" t="str">
        <f t="shared" si="17"/>
        <v>2039-40</v>
      </c>
      <c r="V41" s="180" t="str">
        <f t="shared" si="17"/>
        <v>2040-41</v>
      </c>
      <c r="W41" s="180" t="str">
        <f t="shared" si="17"/>
        <v>2041-42</v>
      </c>
      <c r="X41" s="180" t="str">
        <f t="shared" si="17"/>
        <v>2042-43</v>
      </c>
      <c r="Y41" s="180" t="str">
        <f t="shared" si="17"/>
        <v>2043-44</v>
      </c>
      <c r="Z41" s="180" t="str">
        <f t="shared" si="17"/>
        <v>2044-45</v>
      </c>
      <c r="AA41" s="180" t="str">
        <f t="shared" si="17"/>
        <v>2045-46</v>
      </c>
      <c r="AB41" s="180" t="str">
        <f t="shared" si="17"/>
        <v>2046-47</v>
      </c>
      <c r="AC41" s="180" t="str">
        <f t="shared" si="17"/>
        <v>2047-48</v>
      </c>
      <c r="AD41" s="180" t="str">
        <f t="shared" si="17"/>
        <v>2048-49</v>
      </c>
      <c r="AE41" s="180" t="str">
        <f t="shared" si="17"/>
        <v>2049-50</v>
      </c>
    </row>
    <row r="42" spans="1:31" x14ac:dyDescent="0.25">
      <c r="A42" s="52" t="str">
        <f>+A27</f>
        <v>Market benefits (PV at 2020)</v>
      </c>
      <c r="B42" s="77">
        <v>0</v>
      </c>
      <c r="C42" s="77">
        <v>-0.42121050592883208</v>
      </c>
      <c r="D42" s="77">
        <v>-1.9273325214074264</v>
      </c>
      <c r="E42" s="77">
        <v>-3.2475709180616419</v>
      </c>
      <c r="F42" s="77">
        <v>6.0735790582612932</v>
      </c>
      <c r="G42" s="77">
        <v>88.952789378549099</v>
      </c>
      <c r="H42" s="77">
        <v>-29.173622936704845</v>
      </c>
      <c r="I42" s="77">
        <v>32.824918318235476</v>
      </c>
      <c r="J42" s="77">
        <v>65.436178342369658</v>
      </c>
      <c r="K42" s="77">
        <v>52.47568574740874</v>
      </c>
      <c r="L42" s="77">
        <v>48.385376508077876</v>
      </c>
      <c r="M42" s="77">
        <v>58.746807640725649</v>
      </c>
      <c r="N42" s="77">
        <v>100.99784750188675</v>
      </c>
      <c r="O42" s="77">
        <v>101.94587807463975</v>
      </c>
      <c r="P42" s="77">
        <v>103.00257707440265</v>
      </c>
      <c r="Q42" s="77">
        <v>114.66186006252632</v>
      </c>
      <c r="R42" s="77">
        <v>119.37406211513617</v>
      </c>
      <c r="S42" s="77">
        <v>161.569584259415</v>
      </c>
      <c r="T42" s="77">
        <v>138.93478906849708</v>
      </c>
      <c r="U42" s="77">
        <v>140.99602754188251</v>
      </c>
      <c r="V42" s="77">
        <v>152.46249657307882</v>
      </c>
      <c r="W42" s="77">
        <v>145.88619934286996</v>
      </c>
      <c r="X42" s="77">
        <v>152.49872147006704</v>
      </c>
      <c r="Y42" s="77">
        <v>144.95786758787133</v>
      </c>
      <c r="Z42" s="77">
        <v>134.50315207588048</v>
      </c>
      <c r="AA42" s="77">
        <v>126.03255696943243</v>
      </c>
      <c r="AB42" s="77">
        <v>134.76800781741954</v>
      </c>
      <c r="AC42" s="77">
        <v>128.37091562335564</v>
      </c>
      <c r="AD42" s="77">
        <v>132.87688871995616</v>
      </c>
      <c r="AE42" s="77">
        <v>123.96827966662771</v>
      </c>
    </row>
    <row r="43" spans="1:31" x14ac:dyDescent="0.25">
      <c r="A43" s="48" t="s">
        <v>42</v>
      </c>
      <c r="B43" s="49">
        <f t="shared" ref="B43:AE43" si="18">+B42/B39</f>
        <v>0</v>
      </c>
      <c r="C43" s="49">
        <f t="shared" si="18"/>
        <v>-0.44142861021341606</v>
      </c>
      <c r="D43" s="49">
        <f t="shared" si="18"/>
        <v>-2.1167970175918622</v>
      </c>
      <c r="E43" s="49">
        <f t="shared" si="18"/>
        <v>-3.738027495811131</v>
      </c>
      <c r="F43" s="49">
        <f t="shared" si="18"/>
        <v>7.3273275138974148</v>
      </c>
      <c r="G43" s="49">
        <f t="shared" si="18"/>
        <v>112.46613456569968</v>
      </c>
      <c r="H43" s="49">
        <f t="shared" si="18"/>
        <v>-38.655727020294144</v>
      </c>
      <c r="I43" s="49">
        <f t="shared" si="18"/>
        <v>45.581479434109433</v>
      </c>
      <c r="J43" s="49">
        <f t="shared" si="18"/>
        <v>95.240081250111444</v>
      </c>
      <c r="K43" s="49">
        <f t="shared" si="18"/>
        <v>80.042608821037987</v>
      </c>
      <c r="L43" s="49">
        <f t="shared" si="18"/>
        <v>77.346117756848741</v>
      </c>
      <c r="M43" s="49">
        <f t="shared" si="18"/>
        <v>98.416960771219706</v>
      </c>
      <c r="N43" s="49">
        <f t="shared" si="18"/>
        <v>177.3433315631674</v>
      </c>
      <c r="O43" s="49">
        <f t="shared" si="18"/>
        <v>187.60037332543939</v>
      </c>
      <c r="P43" s="49">
        <f t="shared" si="18"/>
        <v>198.64306185700167</v>
      </c>
      <c r="Q43" s="49">
        <f t="shared" si="18"/>
        <v>231.74244005494077</v>
      </c>
      <c r="R43" s="49">
        <f t="shared" si="18"/>
        <v>252.87950469437322</v>
      </c>
      <c r="S43" s="49">
        <f t="shared" si="18"/>
        <v>358.69436150271412</v>
      </c>
      <c r="T43" s="49">
        <f t="shared" si="18"/>
        <v>323.24903054429012</v>
      </c>
      <c r="U43" s="49">
        <f t="shared" si="18"/>
        <v>343.790906050243</v>
      </c>
      <c r="V43" s="49">
        <f t="shared" si="18"/>
        <v>389.64364886678965</v>
      </c>
      <c r="W43" s="49">
        <f t="shared" si="18"/>
        <v>390.7329780095136</v>
      </c>
      <c r="X43" s="49">
        <f t="shared" si="18"/>
        <v>428.04885783503352</v>
      </c>
      <c r="Y43" s="49">
        <f t="shared" si="18"/>
        <v>426.41278177144119</v>
      </c>
      <c r="Z43" s="49">
        <f t="shared" si="18"/>
        <v>414.70373964835761</v>
      </c>
      <c r="AA43" s="49">
        <f t="shared" si="18"/>
        <v>407.23914745890033</v>
      </c>
      <c r="AB43" s="49">
        <f t="shared" si="18"/>
        <v>456.36766248778724</v>
      </c>
      <c r="AC43" s="49">
        <f t="shared" si="18"/>
        <v>455.57090109219115</v>
      </c>
      <c r="AD43" s="49">
        <f t="shared" si="18"/>
        <v>494.26044420752288</v>
      </c>
      <c r="AE43" s="49">
        <f t="shared" si="18"/>
        <v>483.2571202493699</v>
      </c>
    </row>
    <row r="44" spans="1:31" x14ac:dyDescent="0.25">
      <c r="A44" s="50" t="s">
        <v>40</v>
      </c>
      <c r="B44" s="51">
        <f t="shared" ref="B44:H44" si="19">+B29</f>
        <v>0</v>
      </c>
      <c r="C44" s="51">
        <f t="shared" si="19"/>
        <v>0</v>
      </c>
      <c r="D44" s="51">
        <f t="shared" si="19"/>
        <v>0</v>
      </c>
      <c r="E44" s="51">
        <f t="shared" si="19"/>
        <v>0</v>
      </c>
      <c r="F44" s="51">
        <f t="shared" si="19"/>
        <v>0</v>
      </c>
      <c r="G44" s="51">
        <f t="shared" si="19"/>
        <v>0</v>
      </c>
      <c r="H44" s="51">
        <f t="shared" si="19"/>
        <v>0</v>
      </c>
      <c r="I44" s="51">
        <f>+I29</f>
        <v>15.788363499540408</v>
      </c>
      <c r="J44" s="51">
        <f t="shared" ref="J44:AE44" si="20">+J29</f>
        <v>15.876122651112929</v>
      </c>
      <c r="K44" s="51">
        <f t="shared" si="20"/>
        <v>15.961779131322926</v>
      </c>
      <c r="L44" s="51">
        <f t="shared" si="20"/>
        <v>16.048292176335021</v>
      </c>
      <c r="M44" s="51">
        <f t="shared" si="20"/>
        <v>16.135670351797238</v>
      </c>
      <c r="N44" s="51">
        <f t="shared" si="20"/>
        <v>16.223922309014075</v>
      </c>
      <c r="O44" s="51">
        <f t="shared" si="20"/>
        <v>16.313056785803084</v>
      </c>
      <c r="P44" s="51">
        <f t="shared" si="20"/>
        <v>16.40308260735998</v>
      </c>
      <c r="Q44" s="51">
        <f t="shared" si="20"/>
        <v>16.49400868713245</v>
      </c>
      <c r="R44" s="51">
        <f t="shared" si="20"/>
        <v>16.585844027702642</v>
      </c>
      <c r="S44" s="51">
        <f t="shared" si="20"/>
        <v>16.678597721678535</v>
      </c>
      <c r="T44" s="51">
        <f t="shared" si="20"/>
        <v>16.772278952594188</v>
      </c>
      <c r="U44" s="51">
        <f t="shared" si="20"/>
        <v>16.866896995818998</v>
      </c>
      <c r="V44" s="51">
        <f t="shared" si="20"/>
        <v>16.962461219476054</v>
      </c>
      <c r="W44" s="51">
        <f t="shared" si="20"/>
        <v>17.058981085369684</v>
      </c>
      <c r="X44" s="51">
        <f t="shared" si="20"/>
        <v>17.156466149922252</v>
      </c>
      <c r="Y44" s="51">
        <f t="shared" si="20"/>
        <v>17.25492606512034</v>
      </c>
      <c r="Z44" s="51">
        <f t="shared" si="20"/>
        <v>17.354370579470412</v>
      </c>
      <c r="AA44" s="51">
        <f t="shared" si="20"/>
        <v>17.454809538963978</v>
      </c>
      <c r="AB44" s="51">
        <f t="shared" si="20"/>
        <v>17.556252888052487</v>
      </c>
      <c r="AC44" s="51">
        <f t="shared" si="20"/>
        <v>17.658710670631876</v>
      </c>
      <c r="AD44" s="51">
        <f t="shared" si="20"/>
        <v>17.762193031037071</v>
      </c>
      <c r="AE44" s="51">
        <f t="shared" si="20"/>
        <v>17.866710215046304</v>
      </c>
    </row>
    <row r="45" spans="1:31" x14ac:dyDescent="0.25">
      <c r="A45" s="46" t="s">
        <v>41</v>
      </c>
      <c r="B45" s="47">
        <f>+B44+B43</f>
        <v>0</v>
      </c>
      <c r="C45" s="47">
        <f t="shared" ref="C45:AE45" si="21">+C44+C43</f>
        <v>-0.44142861021341606</v>
      </c>
      <c r="D45" s="47">
        <f t="shared" si="21"/>
        <v>-2.1167970175918622</v>
      </c>
      <c r="E45" s="47">
        <f t="shared" si="21"/>
        <v>-3.738027495811131</v>
      </c>
      <c r="F45" s="47">
        <f t="shared" si="21"/>
        <v>7.3273275138974148</v>
      </c>
      <c r="G45" s="47">
        <f t="shared" si="21"/>
        <v>112.46613456569968</v>
      </c>
      <c r="H45" s="47">
        <f t="shared" si="21"/>
        <v>-38.655727020294144</v>
      </c>
      <c r="I45" s="47">
        <f t="shared" si="21"/>
        <v>61.369842933649842</v>
      </c>
      <c r="J45" s="47">
        <f t="shared" si="21"/>
        <v>111.11620390122437</v>
      </c>
      <c r="K45" s="47">
        <f t="shared" si="21"/>
        <v>96.004387952360915</v>
      </c>
      <c r="L45" s="47">
        <f t="shared" si="21"/>
        <v>93.394409933183766</v>
      </c>
      <c r="M45" s="47">
        <f t="shared" si="21"/>
        <v>114.55263112301694</v>
      </c>
      <c r="N45" s="47">
        <f t="shared" si="21"/>
        <v>193.56725387218148</v>
      </c>
      <c r="O45" s="47">
        <f t="shared" si="21"/>
        <v>203.91343011124246</v>
      </c>
      <c r="P45" s="47">
        <f t="shared" si="21"/>
        <v>215.04614446436165</v>
      </c>
      <c r="Q45" s="47">
        <f t="shared" si="21"/>
        <v>248.23644874207321</v>
      </c>
      <c r="R45" s="47">
        <f t="shared" si="21"/>
        <v>269.46534872207587</v>
      </c>
      <c r="S45" s="47">
        <f t="shared" si="21"/>
        <v>375.37295922439267</v>
      </c>
      <c r="T45" s="47">
        <f t="shared" si="21"/>
        <v>340.02130949688433</v>
      </c>
      <c r="U45" s="47">
        <f t="shared" si="21"/>
        <v>360.65780304606199</v>
      </c>
      <c r="V45" s="47">
        <f t="shared" si="21"/>
        <v>406.60611008626569</v>
      </c>
      <c r="W45" s="47">
        <f t="shared" si="21"/>
        <v>407.79195909488328</v>
      </c>
      <c r="X45" s="47">
        <f t="shared" si="21"/>
        <v>445.20532398495578</v>
      </c>
      <c r="Y45" s="47">
        <f t="shared" si="21"/>
        <v>443.66770783656153</v>
      </c>
      <c r="Z45" s="47">
        <f t="shared" si="21"/>
        <v>432.05811022782802</v>
      </c>
      <c r="AA45" s="47">
        <f t="shared" si="21"/>
        <v>424.69395699786429</v>
      </c>
      <c r="AB45" s="47">
        <f t="shared" si="21"/>
        <v>473.92391537583973</v>
      </c>
      <c r="AC45" s="47">
        <f t="shared" si="21"/>
        <v>473.22961176282303</v>
      </c>
      <c r="AD45" s="47">
        <f t="shared" si="21"/>
        <v>512.02263723855992</v>
      </c>
      <c r="AE45" s="47">
        <f t="shared" si="21"/>
        <v>501.12383046441619</v>
      </c>
    </row>
    <row r="46" spans="1:31" x14ac:dyDescent="0.25">
      <c r="A46" s="53" t="s">
        <v>67</v>
      </c>
      <c r="B46" s="181">
        <v>0</v>
      </c>
      <c r="C46" s="181">
        <v>0</v>
      </c>
      <c r="D46" s="181">
        <v>0</v>
      </c>
      <c r="E46" s="181">
        <v>0</v>
      </c>
      <c r="F46" s="181">
        <v>0</v>
      </c>
      <c r="G46" s="181">
        <v>0</v>
      </c>
      <c r="H46" s="181">
        <v>0</v>
      </c>
      <c r="I46" s="181">
        <f>+I31</f>
        <v>142.82816755571437</v>
      </c>
      <c r="J46" s="181">
        <f>+J31</f>
        <v>142.82816755571437</v>
      </c>
      <c r="K46" s="181">
        <f t="shared" ref="K46:AE46" si="22">+K31</f>
        <v>142.82816755571437</v>
      </c>
      <c r="L46" s="181">
        <f t="shared" si="22"/>
        <v>142.82816755571437</v>
      </c>
      <c r="M46" s="181">
        <f t="shared" si="22"/>
        <v>142.82816755571437</v>
      </c>
      <c r="N46" s="181">
        <f t="shared" si="22"/>
        <v>142.82816755571437</v>
      </c>
      <c r="O46" s="181">
        <f t="shared" si="22"/>
        <v>142.82816755571437</v>
      </c>
      <c r="P46" s="181">
        <f t="shared" si="22"/>
        <v>142.82816755571437</v>
      </c>
      <c r="Q46" s="181">
        <f t="shared" si="22"/>
        <v>142.82816755571437</v>
      </c>
      <c r="R46" s="181">
        <f t="shared" si="22"/>
        <v>142.82816755571437</v>
      </c>
      <c r="S46" s="181">
        <f t="shared" si="22"/>
        <v>142.82816755571437</v>
      </c>
      <c r="T46" s="181">
        <f t="shared" si="22"/>
        <v>142.82816755571437</v>
      </c>
      <c r="U46" s="181">
        <f t="shared" si="22"/>
        <v>142.82816755571437</v>
      </c>
      <c r="V46" s="181">
        <f t="shared" si="22"/>
        <v>142.82816755571437</v>
      </c>
      <c r="W46" s="181">
        <f t="shared" si="22"/>
        <v>142.82816755571437</v>
      </c>
      <c r="X46" s="181">
        <f t="shared" si="22"/>
        <v>142.82816755571437</v>
      </c>
      <c r="Y46" s="181">
        <f t="shared" si="22"/>
        <v>142.82816755571437</v>
      </c>
      <c r="Z46" s="181">
        <f t="shared" si="22"/>
        <v>142.82816755571437</v>
      </c>
      <c r="AA46" s="181">
        <f t="shared" si="22"/>
        <v>142.82816755571437</v>
      </c>
      <c r="AB46" s="181">
        <f t="shared" si="22"/>
        <v>142.82816755571437</v>
      </c>
      <c r="AC46" s="181">
        <f t="shared" si="22"/>
        <v>142.82816755571437</v>
      </c>
      <c r="AD46" s="181">
        <f t="shared" si="22"/>
        <v>142.82816755571437</v>
      </c>
      <c r="AE46" s="181">
        <f t="shared" si="22"/>
        <v>142.82816755571437</v>
      </c>
    </row>
    <row r="47" spans="1:31" x14ac:dyDescent="0.25">
      <c r="A47" t="s">
        <v>68</v>
      </c>
      <c r="B47" s="43">
        <f>XNPV(NotSlowWACC,B45:AE45,$B$10:$AE$10)</f>
        <v>2848.1197001943137</v>
      </c>
      <c r="C47" s="134"/>
      <c r="D47" s="135"/>
      <c r="E47" s="136"/>
      <c r="F47" s="137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</row>
    <row r="48" spans="1:31" x14ac:dyDescent="0.25">
      <c r="A48" t="s">
        <v>69</v>
      </c>
      <c r="B48" s="43">
        <f>+XNPV(NotSlowWACC,B46:AE46,$B$10:$AE$10)</f>
        <v>1481.2827754070554</v>
      </c>
      <c r="C48" s="134"/>
      <c r="D48" s="135"/>
      <c r="E48" s="136"/>
      <c r="F48" s="137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</row>
    <row r="49" spans="1:31" ht="15.75" thickBot="1" x14ac:dyDescent="0.3">
      <c r="A49" s="1" t="s">
        <v>119</v>
      </c>
      <c r="B49" s="68">
        <f>+B47-B48</f>
        <v>1366.8369247872583</v>
      </c>
      <c r="C49" s="134"/>
      <c r="D49" s="135"/>
      <c r="E49" s="136"/>
      <c r="F49" s="137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</row>
    <row r="50" spans="1:31" ht="16.5" thickTop="1" thickBot="1" x14ac:dyDescent="0.3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</row>
    <row r="51" spans="1:31" ht="15.75" thickTop="1" x14ac:dyDescent="0.25">
      <c r="A51" s="71" t="str">
        <f>+A2</f>
        <v>Option 2:  750 MW in 2027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</row>
    <row r="52" spans="1:31" x14ac:dyDescent="0.25">
      <c r="A52" s="73" t="s">
        <v>72</v>
      </c>
      <c r="B52" s="74" t="str">
        <f>+Overview!D9</f>
        <v xml:space="preserve">Fast Change 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</row>
    <row r="53" spans="1:31" x14ac:dyDescent="0.25">
      <c r="A53" s="2" t="s">
        <v>34</v>
      </c>
      <c r="B53" s="1">
        <v>0</v>
      </c>
      <c r="C53" s="1">
        <f>+B53+1</f>
        <v>1</v>
      </c>
      <c r="D53" s="1">
        <f t="shared" ref="D53:AE53" si="23">+C53+1</f>
        <v>2</v>
      </c>
      <c r="E53" s="1">
        <f t="shared" si="23"/>
        <v>3</v>
      </c>
      <c r="F53" s="1">
        <f t="shared" si="23"/>
        <v>4</v>
      </c>
      <c r="G53" s="1">
        <f t="shared" si="23"/>
        <v>5</v>
      </c>
      <c r="H53" s="8">
        <f t="shared" si="23"/>
        <v>6</v>
      </c>
      <c r="I53" s="1">
        <f t="shared" si="23"/>
        <v>7</v>
      </c>
      <c r="J53" s="1">
        <f t="shared" si="23"/>
        <v>8</v>
      </c>
      <c r="K53" s="1">
        <f t="shared" si="23"/>
        <v>9</v>
      </c>
      <c r="L53" s="1">
        <f t="shared" si="23"/>
        <v>10</v>
      </c>
      <c r="M53" s="1">
        <f t="shared" si="23"/>
        <v>11</v>
      </c>
      <c r="N53" s="1">
        <f t="shared" si="23"/>
        <v>12</v>
      </c>
      <c r="O53" s="1">
        <f t="shared" si="23"/>
        <v>13</v>
      </c>
      <c r="P53" s="1">
        <f t="shared" si="23"/>
        <v>14</v>
      </c>
      <c r="Q53" s="1">
        <f t="shared" si="23"/>
        <v>15</v>
      </c>
      <c r="R53" s="1">
        <f t="shared" si="23"/>
        <v>16</v>
      </c>
      <c r="S53" s="1">
        <f t="shared" si="23"/>
        <v>17</v>
      </c>
      <c r="T53" s="1">
        <f t="shared" si="23"/>
        <v>18</v>
      </c>
      <c r="U53" s="1">
        <f t="shared" si="23"/>
        <v>19</v>
      </c>
      <c r="V53" s="1">
        <f t="shared" si="23"/>
        <v>20</v>
      </c>
      <c r="W53" s="1">
        <f t="shared" si="23"/>
        <v>21</v>
      </c>
      <c r="X53" s="1">
        <f t="shared" si="23"/>
        <v>22</v>
      </c>
      <c r="Y53" s="1">
        <f t="shared" si="23"/>
        <v>23</v>
      </c>
      <c r="Z53" s="1">
        <f t="shared" si="23"/>
        <v>24</v>
      </c>
      <c r="AA53" s="1">
        <f t="shared" si="23"/>
        <v>25</v>
      </c>
      <c r="AB53" s="1">
        <f t="shared" si="23"/>
        <v>26</v>
      </c>
      <c r="AC53" s="1">
        <f t="shared" si="23"/>
        <v>27</v>
      </c>
      <c r="AD53" s="1">
        <f t="shared" si="23"/>
        <v>28</v>
      </c>
      <c r="AE53" s="1">
        <f t="shared" si="23"/>
        <v>29</v>
      </c>
    </row>
    <row r="54" spans="1:31" x14ac:dyDescent="0.25">
      <c r="A54" t="s">
        <v>35</v>
      </c>
      <c r="B54" s="4">
        <v>1</v>
      </c>
      <c r="C54" s="4">
        <f t="shared" ref="C54:AE54" si="24">1/((1+NotSlowWACC)^((C55-$B$10)/365))</f>
        <v>0.95419847328244267</v>
      </c>
      <c r="D54" s="4">
        <f t="shared" si="24"/>
        <v>0.91049472641454443</v>
      </c>
      <c r="E54" s="4">
        <f t="shared" si="24"/>
        <v>0.86879267787647374</v>
      </c>
      <c r="F54" s="4">
        <f t="shared" si="24"/>
        <v>0.82889417004246191</v>
      </c>
      <c r="G54" s="4">
        <f t="shared" si="24"/>
        <v>0.79092955156723455</v>
      </c>
      <c r="H54" s="4">
        <f t="shared" si="24"/>
        <v>0.75470377057942228</v>
      </c>
      <c r="I54" s="4">
        <f t="shared" si="24"/>
        <v>0.7201371856673876</v>
      </c>
      <c r="J54" s="4">
        <f t="shared" si="24"/>
        <v>0.68706554513038165</v>
      </c>
      <c r="K54" s="4">
        <f t="shared" si="24"/>
        <v>0.65559689420837941</v>
      </c>
      <c r="L54" s="4">
        <f t="shared" si="24"/>
        <v>0.62556955554234672</v>
      </c>
      <c r="M54" s="4">
        <f t="shared" si="24"/>
        <v>0.5969175148304835</v>
      </c>
      <c r="N54" s="4">
        <f t="shared" si="24"/>
        <v>0.56950462479561925</v>
      </c>
      <c r="O54" s="4">
        <f t="shared" si="24"/>
        <v>0.54342044350727026</v>
      </c>
      <c r="P54" s="4">
        <f t="shared" si="24"/>
        <v>0.51853095754510525</v>
      </c>
      <c r="Q54" s="4">
        <f t="shared" si="24"/>
        <v>0.49478144803922253</v>
      </c>
      <c r="R54" s="4">
        <f t="shared" si="24"/>
        <v>0.47205906330530845</v>
      </c>
      <c r="S54" s="4">
        <f t="shared" si="24"/>
        <v>0.45043803750506534</v>
      </c>
      <c r="T54" s="4">
        <f t="shared" si="24"/>
        <v>0.429807287695673</v>
      </c>
      <c r="U54" s="4">
        <f t="shared" si="24"/>
        <v>0.41012145772487879</v>
      </c>
      <c r="V54" s="4">
        <f t="shared" si="24"/>
        <v>0.39128700548947559</v>
      </c>
      <c r="W54" s="4">
        <f t="shared" si="24"/>
        <v>0.37336546325331643</v>
      </c>
      <c r="X54" s="4">
        <f t="shared" si="24"/>
        <v>0.35626475501270649</v>
      </c>
      <c r="Y54" s="4">
        <f t="shared" si="24"/>
        <v>0.33994728531746798</v>
      </c>
      <c r="Z54" s="4">
        <f t="shared" si="24"/>
        <v>0.32433551766359908</v>
      </c>
      <c r="AA54" s="4">
        <f t="shared" si="24"/>
        <v>0.30948045578587696</v>
      </c>
      <c r="AB54" s="4">
        <f t="shared" si="24"/>
        <v>0.29530577842163835</v>
      </c>
      <c r="AC54" s="4">
        <f t="shared" si="24"/>
        <v>0.28178032292141064</v>
      </c>
      <c r="AD54" s="4">
        <f t="shared" si="24"/>
        <v>0.26883981972906118</v>
      </c>
      <c r="AE54" s="4">
        <f t="shared" si="24"/>
        <v>0.25652654554299731</v>
      </c>
    </row>
    <row r="55" spans="1:31" x14ac:dyDescent="0.25">
      <c r="A55" s="5" t="s">
        <v>70</v>
      </c>
      <c r="B55" s="6">
        <f>+B40</f>
        <v>44013</v>
      </c>
      <c r="C55" s="6">
        <f t="shared" ref="C55:AE56" si="25">+C40</f>
        <v>44378</v>
      </c>
      <c r="D55" s="6">
        <f t="shared" si="25"/>
        <v>44743</v>
      </c>
      <c r="E55" s="6">
        <f t="shared" si="25"/>
        <v>45108</v>
      </c>
      <c r="F55" s="6">
        <f t="shared" si="25"/>
        <v>45474</v>
      </c>
      <c r="G55" s="6">
        <f t="shared" si="25"/>
        <v>45839</v>
      </c>
      <c r="H55" s="6">
        <f t="shared" si="25"/>
        <v>46204</v>
      </c>
      <c r="I55" s="6">
        <f t="shared" si="25"/>
        <v>46569</v>
      </c>
      <c r="J55" s="6">
        <f t="shared" si="25"/>
        <v>46935</v>
      </c>
      <c r="K55" s="6">
        <f t="shared" si="25"/>
        <v>47300</v>
      </c>
      <c r="L55" s="6">
        <f t="shared" si="25"/>
        <v>47665</v>
      </c>
      <c r="M55" s="6">
        <f t="shared" si="25"/>
        <v>48030</v>
      </c>
      <c r="N55" s="6">
        <f t="shared" si="25"/>
        <v>48396</v>
      </c>
      <c r="O55" s="6">
        <f t="shared" si="25"/>
        <v>48761</v>
      </c>
      <c r="P55" s="6">
        <f t="shared" si="25"/>
        <v>49126</v>
      </c>
      <c r="Q55" s="6">
        <f t="shared" si="25"/>
        <v>49491</v>
      </c>
      <c r="R55" s="6">
        <f t="shared" si="25"/>
        <v>49857</v>
      </c>
      <c r="S55" s="6">
        <f t="shared" si="25"/>
        <v>50222</v>
      </c>
      <c r="T55" s="6">
        <f t="shared" si="25"/>
        <v>50587</v>
      </c>
      <c r="U55" s="6">
        <f t="shared" si="25"/>
        <v>50952</v>
      </c>
      <c r="V55" s="6">
        <f t="shared" si="25"/>
        <v>51318</v>
      </c>
      <c r="W55" s="6">
        <f t="shared" si="25"/>
        <v>51683</v>
      </c>
      <c r="X55" s="6">
        <f t="shared" si="25"/>
        <v>52048</v>
      </c>
      <c r="Y55" s="6">
        <f t="shared" si="25"/>
        <v>52413</v>
      </c>
      <c r="Z55" s="6">
        <f t="shared" si="25"/>
        <v>52779</v>
      </c>
      <c r="AA55" s="6">
        <f t="shared" si="25"/>
        <v>53144</v>
      </c>
      <c r="AB55" s="6">
        <f t="shared" si="25"/>
        <v>53509</v>
      </c>
      <c r="AC55" s="6">
        <f t="shared" si="25"/>
        <v>53874</v>
      </c>
      <c r="AD55" s="6">
        <f t="shared" si="25"/>
        <v>54240</v>
      </c>
      <c r="AE55" s="6">
        <f t="shared" si="25"/>
        <v>54605</v>
      </c>
    </row>
    <row r="56" spans="1:31" x14ac:dyDescent="0.25">
      <c r="A56" s="179" t="s">
        <v>39</v>
      </c>
      <c r="B56" s="180" t="str">
        <f>+B41</f>
        <v>2020-21</v>
      </c>
      <c r="C56" s="180" t="str">
        <f t="shared" si="25"/>
        <v>2021-22</v>
      </c>
      <c r="D56" s="180" t="str">
        <f t="shared" si="25"/>
        <v>2022-23</v>
      </c>
      <c r="E56" s="180" t="str">
        <f t="shared" si="25"/>
        <v>2023-24</v>
      </c>
      <c r="F56" s="180" t="str">
        <f t="shared" si="25"/>
        <v>2024-25</v>
      </c>
      <c r="G56" s="180" t="str">
        <f t="shared" si="25"/>
        <v>2025-26</v>
      </c>
      <c r="H56" s="180" t="str">
        <f t="shared" si="25"/>
        <v>2026-27</v>
      </c>
      <c r="I56" s="180" t="str">
        <f t="shared" si="25"/>
        <v>2027-28</v>
      </c>
      <c r="J56" s="180" t="str">
        <f t="shared" si="25"/>
        <v>2028-29</v>
      </c>
      <c r="K56" s="180" t="str">
        <f t="shared" si="25"/>
        <v>2029-30</v>
      </c>
      <c r="L56" s="180" t="str">
        <f t="shared" si="25"/>
        <v>2030-31</v>
      </c>
      <c r="M56" s="180" t="str">
        <f t="shared" si="25"/>
        <v>2031-32</v>
      </c>
      <c r="N56" s="180" t="str">
        <f t="shared" si="25"/>
        <v>2032-33</v>
      </c>
      <c r="O56" s="180" t="str">
        <f t="shared" si="25"/>
        <v>2033-34</v>
      </c>
      <c r="P56" s="180" t="str">
        <f t="shared" si="25"/>
        <v>2034-35</v>
      </c>
      <c r="Q56" s="180" t="str">
        <f t="shared" si="25"/>
        <v>2035-36</v>
      </c>
      <c r="R56" s="180" t="str">
        <f t="shared" si="25"/>
        <v>2036-37</v>
      </c>
      <c r="S56" s="180" t="str">
        <f t="shared" si="25"/>
        <v>2037-38</v>
      </c>
      <c r="T56" s="180" t="str">
        <f t="shared" si="25"/>
        <v>2038-39</v>
      </c>
      <c r="U56" s="180" t="str">
        <f t="shared" si="25"/>
        <v>2039-40</v>
      </c>
      <c r="V56" s="180" t="str">
        <f t="shared" si="25"/>
        <v>2040-41</v>
      </c>
      <c r="W56" s="180" t="str">
        <f t="shared" si="25"/>
        <v>2041-42</v>
      </c>
      <c r="X56" s="180" t="str">
        <f t="shared" si="25"/>
        <v>2042-43</v>
      </c>
      <c r="Y56" s="180" t="str">
        <f t="shared" si="25"/>
        <v>2043-44</v>
      </c>
      <c r="Z56" s="180" t="str">
        <f t="shared" si="25"/>
        <v>2044-45</v>
      </c>
      <c r="AA56" s="180" t="str">
        <f t="shared" si="25"/>
        <v>2045-46</v>
      </c>
      <c r="AB56" s="180" t="str">
        <f t="shared" si="25"/>
        <v>2046-47</v>
      </c>
      <c r="AC56" s="180" t="str">
        <f t="shared" si="25"/>
        <v>2047-48</v>
      </c>
      <c r="AD56" s="180" t="str">
        <f t="shared" si="25"/>
        <v>2048-49</v>
      </c>
      <c r="AE56" s="180" t="str">
        <f t="shared" si="25"/>
        <v>2049-50</v>
      </c>
    </row>
    <row r="57" spans="1:31" x14ac:dyDescent="0.25">
      <c r="A57" s="52" t="str">
        <f>+A42</f>
        <v>Market benefits (PV at 2020)</v>
      </c>
      <c r="B57" s="77">
        <v>0</v>
      </c>
      <c r="C57" s="77">
        <v>1.0731439103290656</v>
      </c>
      <c r="D57" s="77">
        <v>-5.4694086979096737E-2</v>
      </c>
      <c r="E57" s="77">
        <v>-2.1669998768145664</v>
      </c>
      <c r="F57" s="77">
        <v>-2.7235169359701952</v>
      </c>
      <c r="G57" s="77">
        <v>72.553761383942771</v>
      </c>
      <c r="H57" s="77">
        <v>-33.207406248438211</v>
      </c>
      <c r="I57" s="77">
        <v>46.772199346053625</v>
      </c>
      <c r="J57" s="77">
        <v>75.384438945225909</v>
      </c>
      <c r="K57" s="77">
        <v>52.429496028852611</v>
      </c>
      <c r="L57" s="77">
        <v>50.294320852407679</v>
      </c>
      <c r="M57" s="77">
        <v>58.587164825243882</v>
      </c>
      <c r="N57" s="77">
        <v>113.86712537270307</v>
      </c>
      <c r="O57" s="77">
        <v>111.57887048106677</v>
      </c>
      <c r="P57" s="77">
        <v>119.42566884363801</v>
      </c>
      <c r="Q57" s="77">
        <v>137.78760148613557</v>
      </c>
      <c r="R57" s="77">
        <v>130.07911063293412</v>
      </c>
      <c r="S57" s="77">
        <v>180.17973548557612</v>
      </c>
      <c r="T57" s="77">
        <v>154.84575239549065</v>
      </c>
      <c r="U57" s="77">
        <v>143.17599538515606</v>
      </c>
      <c r="V57" s="77">
        <v>155.00608999581254</v>
      </c>
      <c r="W57" s="77">
        <v>144.86811588327308</v>
      </c>
      <c r="X57" s="77">
        <v>158.98569386938971</v>
      </c>
      <c r="Y57" s="77">
        <v>156.2235330865567</v>
      </c>
      <c r="Z57" s="77">
        <v>141.329475764054</v>
      </c>
      <c r="AA57" s="77">
        <v>133.0831777033583</v>
      </c>
      <c r="AB57" s="77">
        <v>134.04870350534264</v>
      </c>
      <c r="AC57" s="77">
        <v>131.18111041628731</v>
      </c>
      <c r="AD57" s="77">
        <v>139.35096336847855</v>
      </c>
      <c r="AE57" s="77">
        <v>135.44457617635047</v>
      </c>
    </row>
    <row r="58" spans="1:31" x14ac:dyDescent="0.25">
      <c r="A58" s="48" t="s">
        <v>42</v>
      </c>
      <c r="B58" s="49">
        <f t="shared" ref="B58:AE58" si="26">+B57/B54</f>
        <v>0</v>
      </c>
      <c r="C58" s="49">
        <f t="shared" si="26"/>
        <v>1.1246548180248608</v>
      </c>
      <c r="D58" s="49">
        <f t="shared" si="26"/>
        <v>-6.0070734505489873E-2</v>
      </c>
      <c r="E58" s="49">
        <f t="shared" si="26"/>
        <v>-2.4942658150747832</v>
      </c>
      <c r="F58" s="49">
        <f t="shared" si="26"/>
        <v>-3.2857233581829597</v>
      </c>
      <c r="G58" s="49">
        <f t="shared" si="26"/>
        <v>91.732267735067921</v>
      </c>
      <c r="H58" s="49">
        <f t="shared" si="26"/>
        <v>-44.000583464613264</v>
      </c>
      <c r="I58" s="49">
        <f t="shared" si="26"/>
        <v>64.949012878299655</v>
      </c>
      <c r="J58" s="49">
        <f t="shared" si="26"/>
        <v>109.71942848759868</v>
      </c>
      <c r="K58" s="49">
        <f t="shared" si="26"/>
        <v>79.972154371109724</v>
      </c>
      <c r="L58" s="49">
        <f t="shared" si="26"/>
        <v>80.397647882343435</v>
      </c>
      <c r="M58" s="49">
        <f t="shared" si="26"/>
        <v>98.14951541819282</v>
      </c>
      <c r="N58" s="49">
        <f t="shared" si="26"/>
        <v>199.94065090088969</v>
      </c>
      <c r="O58" s="49">
        <f t="shared" si="26"/>
        <v>205.32696517806656</v>
      </c>
      <c r="P58" s="49">
        <f t="shared" si="26"/>
        <v>230.31540760659323</v>
      </c>
      <c r="Q58" s="49">
        <f t="shared" si="26"/>
        <v>278.48174589442732</v>
      </c>
      <c r="R58" s="49">
        <f t="shared" si="26"/>
        <v>275.556854521834</v>
      </c>
      <c r="S58" s="49">
        <f t="shared" si="26"/>
        <v>400.01003575003352</v>
      </c>
      <c r="T58" s="49">
        <f t="shared" si="26"/>
        <v>360.26786150059394</v>
      </c>
      <c r="U58" s="49">
        <f t="shared" si="26"/>
        <v>349.10632615863426</v>
      </c>
      <c r="V58" s="49">
        <f t="shared" si="26"/>
        <v>396.14423127062349</v>
      </c>
      <c r="W58" s="49">
        <f t="shared" si="26"/>
        <v>388.00620341519038</v>
      </c>
      <c r="X58" s="49">
        <f t="shared" si="26"/>
        <v>446.25714902311722</v>
      </c>
      <c r="Y58" s="49">
        <f t="shared" si="26"/>
        <v>459.55223010727553</v>
      </c>
      <c r="Z58" s="49">
        <f t="shared" si="26"/>
        <v>435.75084462578343</v>
      </c>
      <c r="AA58" s="49">
        <f t="shared" si="26"/>
        <v>430.02126698248037</v>
      </c>
      <c r="AB58" s="49">
        <f t="shared" si="26"/>
        <v>453.93186757743547</v>
      </c>
      <c r="AC58" s="49">
        <f t="shared" si="26"/>
        <v>465.54389978775811</v>
      </c>
      <c r="AD58" s="49">
        <f t="shared" si="26"/>
        <v>518.34197593540091</v>
      </c>
      <c r="AE58" s="49">
        <f t="shared" si="26"/>
        <v>527.99438705125408</v>
      </c>
    </row>
    <row r="59" spans="1:31" x14ac:dyDescent="0.25">
      <c r="A59" s="50" t="s">
        <v>40</v>
      </c>
      <c r="B59" s="51">
        <f t="shared" ref="B59:H59" si="27">+B44</f>
        <v>0</v>
      </c>
      <c r="C59" s="51">
        <f t="shared" si="27"/>
        <v>0</v>
      </c>
      <c r="D59" s="51">
        <f t="shared" si="27"/>
        <v>0</v>
      </c>
      <c r="E59" s="51">
        <f t="shared" si="27"/>
        <v>0</v>
      </c>
      <c r="F59" s="51">
        <f t="shared" si="27"/>
        <v>0</v>
      </c>
      <c r="G59" s="51">
        <f t="shared" si="27"/>
        <v>0</v>
      </c>
      <c r="H59" s="51">
        <f t="shared" si="27"/>
        <v>0</v>
      </c>
      <c r="I59" s="51">
        <f>+I44</f>
        <v>15.788363499540408</v>
      </c>
      <c r="J59" s="51">
        <f t="shared" ref="J59:AE59" si="28">+J44</f>
        <v>15.876122651112929</v>
      </c>
      <c r="K59" s="51">
        <f t="shared" si="28"/>
        <v>15.961779131322926</v>
      </c>
      <c r="L59" s="51">
        <f t="shared" si="28"/>
        <v>16.048292176335021</v>
      </c>
      <c r="M59" s="51">
        <f t="shared" si="28"/>
        <v>16.135670351797238</v>
      </c>
      <c r="N59" s="51">
        <f t="shared" si="28"/>
        <v>16.223922309014075</v>
      </c>
      <c r="O59" s="51">
        <f t="shared" si="28"/>
        <v>16.313056785803084</v>
      </c>
      <c r="P59" s="51">
        <f t="shared" si="28"/>
        <v>16.40308260735998</v>
      </c>
      <c r="Q59" s="51">
        <f t="shared" si="28"/>
        <v>16.49400868713245</v>
      </c>
      <c r="R59" s="51">
        <f t="shared" si="28"/>
        <v>16.585844027702642</v>
      </c>
      <c r="S59" s="51">
        <f t="shared" si="28"/>
        <v>16.678597721678535</v>
      </c>
      <c r="T59" s="51">
        <f t="shared" si="28"/>
        <v>16.772278952594188</v>
      </c>
      <c r="U59" s="51">
        <f t="shared" si="28"/>
        <v>16.866896995818998</v>
      </c>
      <c r="V59" s="51">
        <f t="shared" si="28"/>
        <v>16.962461219476054</v>
      </c>
      <c r="W59" s="51">
        <f t="shared" si="28"/>
        <v>17.058981085369684</v>
      </c>
      <c r="X59" s="51">
        <f t="shared" si="28"/>
        <v>17.156466149922252</v>
      </c>
      <c r="Y59" s="51">
        <f t="shared" si="28"/>
        <v>17.25492606512034</v>
      </c>
      <c r="Z59" s="51">
        <f t="shared" si="28"/>
        <v>17.354370579470412</v>
      </c>
      <c r="AA59" s="51">
        <f t="shared" si="28"/>
        <v>17.454809538963978</v>
      </c>
      <c r="AB59" s="51">
        <f t="shared" si="28"/>
        <v>17.556252888052487</v>
      </c>
      <c r="AC59" s="51">
        <f t="shared" si="28"/>
        <v>17.658710670631876</v>
      </c>
      <c r="AD59" s="51">
        <f t="shared" si="28"/>
        <v>17.762193031037071</v>
      </c>
      <c r="AE59" s="51">
        <f t="shared" si="28"/>
        <v>17.866710215046304</v>
      </c>
    </row>
    <row r="60" spans="1:31" x14ac:dyDescent="0.25">
      <c r="A60" s="46" t="s">
        <v>41</v>
      </c>
      <c r="B60" s="47">
        <f>+B59+B58</f>
        <v>0</v>
      </c>
      <c r="C60" s="47">
        <f t="shared" ref="C60:AE60" si="29">+C59+C58</f>
        <v>1.1246548180248608</v>
      </c>
      <c r="D60" s="47">
        <f t="shared" si="29"/>
        <v>-6.0070734505489873E-2</v>
      </c>
      <c r="E60" s="47">
        <f t="shared" si="29"/>
        <v>-2.4942658150747832</v>
      </c>
      <c r="F60" s="47">
        <f t="shared" si="29"/>
        <v>-3.2857233581829597</v>
      </c>
      <c r="G60" s="47">
        <f t="shared" si="29"/>
        <v>91.732267735067921</v>
      </c>
      <c r="H60" s="47">
        <f t="shared" si="29"/>
        <v>-44.000583464613264</v>
      </c>
      <c r="I60" s="47">
        <f t="shared" si="29"/>
        <v>80.737376377840064</v>
      </c>
      <c r="J60" s="47">
        <f t="shared" si="29"/>
        <v>125.59555113871161</v>
      </c>
      <c r="K60" s="47">
        <f t="shared" si="29"/>
        <v>95.933933502432652</v>
      </c>
      <c r="L60" s="47">
        <f t="shared" si="29"/>
        <v>96.44594005867846</v>
      </c>
      <c r="M60" s="47">
        <f t="shared" si="29"/>
        <v>114.28518576999005</v>
      </c>
      <c r="N60" s="47">
        <f t="shared" si="29"/>
        <v>216.16457320990378</v>
      </c>
      <c r="O60" s="47">
        <f t="shared" si="29"/>
        <v>221.64002196386963</v>
      </c>
      <c r="P60" s="47">
        <f t="shared" si="29"/>
        <v>246.7184902139532</v>
      </c>
      <c r="Q60" s="47">
        <f t="shared" si="29"/>
        <v>294.97575458155978</v>
      </c>
      <c r="R60" s="47">
        <f t="shared" si="29"/>
        <v>292.14269854953665</v>
      </c>
      <c r="S60" s="47">
        <f t="shared" si="29"/>
        <v>416.68863347171208</v>
      </c>
      <c r="T60" s="47">
        <f t="shared" si="29"/>
        <v>377.04014045318814</v>
      </c>
      <c r="U60" s="47">
        <f t="shared" si="29"/>
        <v>365.97322315445325</v>
      </c>
      <c r="V60" s="47">
        <f t="shared" si="29"/>
        <v>413.10669249009953</v>
      </c>
      <c r="W60" s="47">
        <f t="shared" si="29"/>
        <v>405.06518450056006</v>
      </c>
      <c r="X60" s="47">
        <f t="shared" si="29"/>
        <v>463.41361517303949</v>
      </c>
      <c r="Y60" s="47">
        <f t="shared" si="29"/>
        <v>476.80715617239588</v>
      </c>
      <c r="Z60" s="47">
        <f t="shared" si="29"/>
        <v>453.10521520525384</v>
      </c>
      <c r="AA60" s="47">
        <f t="shared" si="29"/>
        <v>447.47607652144433</v>
      </c>
      <c r="AB60" s="47">
        <f t="shared" si="29"/>
        <v>471.48812046548795</v>
      </c>
      <c r="AC60" s="47">
        <f t="shared" si="29"/>
        <v>483.20261045838998</v>
      </c>
      <c r="AD60" s="47">
        <f t="shared" si="29"/>
        <v>536.10416896643801</v>
      </c>
      <c r="AE60" s="47">
        <f t="shared" si="29"/>
        <v>545.86109726630036</v>
      </c>
    </row>
    <row r="61" spans="1:31" x14ac:dyDescent="0.25">
      <c r="A61" s="53" t="s">
        <v>67</v>
      </c>
      <c r="B61" s="181">
        <v>0</v>
      </c>
      <c r="C61" s="181">
        <v>0</v>
      </c>
      <c r="D61" s="181">
        <v>0</v>
      </c>
      <c r="E61" s="181">
        <v>0</v>
      </c>
      <c r="F61" s="181">
        <v>0</v>
      </c>
      <c r="G61" s="181">
        <v>0</v>
      </c>
      <c r="H61" s="181">
        <v>0</v>
      </c>
      <c r="I61" s="181">
        <f>+I46</f>
        <v>142.82816755571437</v>
      </c>
      <c r="J61" s="181">
        <f>+J46</f>
        <v>142.82816755571437</v>
      </c>
      <c r="K61" s="181">
        <f t="shared" ref="K61:AE61" si="30">+K46</f>
        <v>142.82816755571437</v>
      </c>
      <c r="L61" s="181">
        <f t="shared" si="30"/>
        <v>142.82816755571437</v>
      </c>
      <c r="M61" s="181">
        <f t="shared" si="30"/>
        <v>142.82816755571437</v>
      </c>
      <c r="N61" s="181">
        <f t="shared" si="30"/>
        <v>142.82816755571437</v>
      </c>
      <c r="O61" s="181">
        <f t="shared" si="30"/>
        <v>142.82816755571437</v>
      </c>
      <c r="P61" s="181">
        <f t="shared" si="30"/>
        <v>142.82816755571437</v>
      </c>
      <c r="Q61" s="181">
        <f t="shared" si="30"/>
        <v>142.82816755571437</v>
      </c>
      <c r="R61" s="181">
        <f t="shared" si="30"/>
        <v>142.82816755571437</v>
      </c>
      <c r="S61" s="181">
        <f t="shared" si="30"/>
        <v>142.82816755571437</v>
      </c>
      <c r="T61" s="181">
        <f t="shared" si="30"/>
        <v>142.82816755571437</v>
      </c>
      <c r="U61" s="181">
        <f t="shared" si="30"/>
        <v>142.82816755571437</v>
      </c>
      <c r="V61" s="181">
        <f t="shared" si="30"/>
        <v>142.82816755571437</v>
      </c>
      <c r="W61" s="181">
        <f t="shared" si="30"/>
        <v>142.82816755571437</v>
      </c>
      <c r="X61" s="181">
        <f t="shared" si="30"/>
        <v>142.82816755571437</v>
      </c>
      <c r="Y61" s="181">
        <f t="shared" si="30"/>
        <v>142.82816755571437</v>
      </c>
      <c r="Z61" s="181">
        <f t="shared" si="30"/>
        <v>142.82816755571437</v>
      </c>
      <c r="AA61" s="181">
        <f t="shared" si="30"/>
        <v>142.82816755571437</v>
      </c>
      <c r="AB61" s="181">
        <f t="shared" si="30"/>
        <v>142.82816755571437</v>
      </c>
      <c r="AC61" s="181">
        <f t="shared" si="30"/>
        <v>142.82816755571437</v>
      </c>
      <c r="AD61" s="181">
        <f t="shared" si="30"/>
        <v>142.82816755571437</v>
      </c>
      <c r="AE61" s="181">
        <f t="shared" si="30"/>
        <v>142.82816755571437</v>
      </c>
    </row>
    <row r="62" spans="1:31" x14ac:dyDescent="0.25">
      <c r="A62" t="s">
        <v>68</v>
      </c>
      <c r="B62" s="43">
        <f>XNPV(NotSlowWACC,B60:AE60,$B$10:$AE$10)</f>
        <v>3011.5895985333</v>
      </c>
      <c r="C62" s="134"/>
      <c r="D62" s="135"/>
      <c r="E62" s="136"/>
      <c r="F62" s="137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</row>
    <row r="63" spans="1:31" x14ac:dyDescent="0.25">
      <c r="A63" t="s">
        <v>69</v>
      </c>
      <c r="B63" s="43">
        <f>+XNPV(NotSlowWACC,B61:AE61,$B$10:$AE$10)</f>
        <v>1481.2827754070554</v>
      </c>
      <c r="C63" s="134"/>
      <c r="D63" s="135"/>
      <c r="E63" s="136"/>
      <c r="F63" s="137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</row>
    <row r="64" spans="1:31" ht="15.75" thickBot="1" x14ac:dyDescent="0.3">
      <c r="A64" s="1" t="s">
        <v>119</v>
      </c>
      <c r="B64" s="68">
        <f>+B62-B63</f>
        <v>1530.3068231262446</v>
      </c>
      <c r="C64" s="134"/>
      <c r="D64" s="135"/>
      <c r="E64" s="136"/>
      <c r="F64" s="137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</row>
    <row r="65" spans="1:31" ht="16.5" thickTop="1" thickBot="1" x14ac:dyDescent="0.3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</row>
    <row r="66" spans="1:31" ht="15.75" thickTop="1" x14ac:dyDescent="0.25">
      <c r="A66" s="71" t="str">
        <f>+A2</f>
        <v>Option 2:  750 MW in 2027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</row>
    <row r="67" spans="1:31" x14ac:dyDescent="0.25">
      <c r="A67" s="73" t="s">
        <v>72</v>
      </c>
      <c r="B67" s="74" t="str">
        <f>+Overview!D10</f>
        <v>Step Change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</row>
    <row r="68" spans="1:31" x14ac:dyDescent="0.25">
      <c r="A68" s="2" t="s">
        <v>34</v>
      </c>
      <c r="B68" s="1">
        <v>0</v>
      </c>
      <c r="C68" s="1">
        <f>+B68+1</f>
        <v>1</v>
      </c>
      <c r="D68" s="1">
        <f t="shared" ref="D68:AE68" si="31">+C68+1</f>
        <v>2</v>
      </c>
      <c r="E68" s="1">
        <f t="shared" si="31"/>
        <v>3</v>
      </c>
      <c r="F68" s="1">
        <f t="shared" si="31"/>
        <v>4</v>
      </c>
      <c r="G68" s="1">
        <f t="shared" si="31"/>
        <v>5</v>
      </c>
      <c r="H68" s="8">
        <f t="shared" si="31"/>
        <v>6</v>
      </c>
      <c r="I68" s="1">
        <f t="shared" si="31"/>
        <v>7</v>
      </c>
      <c r="J68" s="1">
        <f t="shared" si="31"/>
        <v>8</v>
      </c>
      <c r="K68" s="1">
        <f t="shared" si="31"/>
        <v>9</v>
      </c>
      <c r="L68" s="1">
        <f t="shared" si="31"/>
        <v>10</v>
      </c>
      <c r="M68" s="1">
        <f t="shared" si="31"/>
        <v>11</v>
      </c>
      <c r="N68" s="1">
        <f t="shared" si="31"/>
        <v>12</v>
      </c>
      <c r="O68" s="1">
        <f t="shared" si="31"/>
        <v>13</v>
      </c>
      <c r="P68" s="1">
        <f t="shared" si="31"/>
        <v>14</v>
      </c>
      <c r="Q68" s="1">
        <f t="shared" si="31"/>
        <v>15</v>
      </c>
      <c r="R68" s="1">
        <f t="shared" si="31"/>
        <v>16</v>
      </c>
      <c r="S68" s="1">
        <f t="shared" si="31"/>
        <v>17</v>
      </c>
      <c r="T68" s="1">
        <f t="shared" si="31"/>
        <v>18</v>
      </c>
      <c r="U68" s="1">
        <f t="shared" si="31"/>
        <v>19</v>
      </c>
      <c r="V68" s="1">
        <f t="shared" si="31"/>
        <v>20</v>
      </c>
      <c r="W68" s="1">
        <f t="shared" si="31"/>
        <v>21</v>
      </c>
      <c r="X68" s="1">
        <f t="shared" si="31"/>
        <v>22</v>
      </c>
      <c r="Y68" s="1">
        <f t="shared" si="31"/>
        <v>23</v>
      </c>
      <c r="Z68" s="1">
        <f t="shared" si="31"/>
        <v>24</v>
      </c>
      <c r="AA68" s="1">
        <f t="shared" si="31"/>
        <v>25</v>
      </c>
      <c r="AB68" s="1">
        <f t="shared" si="31"/>
        <v>26</v>
      </c>
      <c r="AC68" s="1">
        <f t="shared" si="31"/>
        <v>27</v>
      </c>
      <c r="AD68" s="1">
        <f t="shared" si="31"/>
        <v>28</v>
      </c>
      <c r="AE68" s="1">
        <f t="shared" si="31"/>
        <v>29</v>
      </c>
    </row>
    <row r="69" spans="1:31" x14ac:dyDescent="0.25">
      <c r="A69" t="s">
        <v>35</v>
      </c>
      <c r="B69" s="4">
        <v>1</v>
      </c>
      <c r="C69" s="4">
        <f t="shared" ref="C69:AE69" si="32">1/((1+NotSlowWACC)^((C70-$B$10)/365))</f>
        <v>0.95419847328244267</v>
      </c>
      <c r="D69" s="4">
        <f t="shared" si="32"/>
        <v>0.91049472641454443</v>
      </c>
      <c r="E69" s="4">
        <f t="shared" si="32"/>
        <v>0.86879267787647374</v>
      </c>
      <c r="F69" s="4">
        <f t="shared" si="32"/>
        <v>0.82889417004246191</v>
      </c>
      <c r="G69" s="4">
        <f t="shared" si="32"/>
        <v>0.79092955156723455</v>
      </c>
      <c r="H69" s="4">
        <f t="shared" si="32"/>
        <v>0.75470377057942228</v>
      </c>
      <c r="I69" s="4">
        <f t="shared" si="32"/>
        <v>0.7201371856673876</v>
      </c>
      <c r="J69" s="4">
        <f t="shared" si="32"/>
        <v>0.68706554513038165</v>
      </c>
      <c r="K69" s="4">
        <f t="shared" si="32"/>
        <v>0.65559689420837941</v>
      </c>
      <c r="L69" s="4">
        <f t="shared" si="32"/>
        <v>0.62556955554234672</v>
      </c>
      <c r="M69" s="4">
        <f t="shared" si="32"/>
        <v>0.5969175148304835</v>
      </c>
      <c r="N69" s="4">
        <f t="shared" si="32"/>
        <v>0.56950462479561925</v>
      </c>
      <c r="O69" s="4">
        <f t="shared" si="32"/>
        <v>0.54342044350727026</v>
      </c>
      <c r="P69" s="4">
        <f t="shared" si="32"/>
        <v>0.51853095754510525</v>
      </c>
      <c r="Q69" s="4">
        <f t="shared" si="32"/>
        <v>0.49478144803922253</v>
      </c>
      <c r="R69" s="4">
        <f t="shared" si="32"/>
        <v>0.47205906330530845</v>
      </c>
      <c r="S69" s="4">
        <f t="shared" si="32"/>
        <v>0.45043803750506534</v>
      </c>
      <c r="T69" s="4">
        <f t="shared" si="32"/>
        <v>0.429807287695673</v>
      </c>
      <c r="U69" s="4">
        <f t="shared" si="32"/>
        <v>0.41012145772487879</v>
      </c>
      <c r="V69" s="4">
        <f t="shared" si="32"/>
        <v>0.39128700548947559</v>
      </c>
      <c r="W69" s="4">
        <f t="shared" si="32"/>
        <v>0.37336546325331643</v>
      </c>
      <c r="X69" s="4">
        <f t="shared" si="32"/>
        <v>0.35626475501270649</v>
      </c>
      <c r="Y69" s="4">
        <f t="shared" si="32"/>
        <v>0.33994728531746798</v>
      </c>
      <c r="Z69" s="4">
        <f t="shared" si="32"/>
        <v>0.32433551766359908</v>
      </c>
      <c r="AA69" s="4">
        <f t="shared" si="32"/>
        <v>0.30948045578587696</v>
      </c>
      <c r="AB69" s="4">
        <f t="shared" si="32"/>
        <v>0.29530577842163835</v>
      </c>
      <c r="AC69" s="4">
        <f t="shared" si="32"/>
        <v>0.28178032292141064</v>
      </c>
      <c r="AD69" s="4">
        <f t="shared" si="32"/>
        <v>0.26883981972906118</v>
      </c>
      <c r="AE69" s="4">
        <f t="shared" si="32"/>
        <v>0.25652654554299731</v>
      </c>
    </row>
    <row r="70" spans="1:31" x14ac:dyDescent="0.25">
      <c r="A70" s="5" t="s">
        <v>70</v>
      </c>
      <c r="B70" s="6">
        <f>+B55</f>
        <v>44013</v>
      </c>
      <c r="C70" s="6">
        <f t="shared" ref="C70:AE71" si="33">+C55</f>
        <v>44378</v>
      </c>
      <c r="D70" s="6">
        <f t="shared" si="33"/>
        <v>44743</v>
      </c>
      <c r="E70" s="6">
        <f t="shared" si="33"/>
        <v>45108</v>
      </c>
      <c r="F70" s="6">
        <f t="shared" si="33"/>
        <v>45474</v>
      </c>
      <c r="G70" s="6">
        <f t="shared" si="33"/>
        <v>45839</v>
      </c>
      <c r="H70" s="6">
        <f t="shared" si="33"/>
        <v>46204</v>
      </c>
      <c r="I70" s="6">
        <f t="shared" si="33"/>
        <v>46569</v>
      </c>
      <c r="J70" s="6">
        <f t="shared" si="33"/>
        <v>46935</v>
      </c>
      <c r="K70" s="6">
        <f t="shared" si="33"/>
        <v>47300</v>
      </c>
      <c r="L70" s="6">
        <f t="shared" si="33"/>
        <v>47665</v>
      </c>
      <c r="M70" s="6">
        <f t="shared" si="33"/>
        <v>48030</v>
      </c>
      <c r="N70" s="6">
        <f t="shared" si="33"/>
        <v>48396</v>
      </c>
      <c r="O70" s="6">
        <f t="shared" si="33"/>
        <v>48761</v>
      </c>
      <c r="P70" s="6">
        <f t="shared" si="33"/>
        <v>49126</v>
      </c>
      <c r="Q70" s="6">
        <f t="shared" si="33"/>
        <v>49491</v>
      </c>
      <c r="R70" s="6">
        <f t="shared" si="33"/>
        <v>49857</v>
      </c>
      <c r="S70" s="6">
        <f t="shared" si="33"/>
        <v>50222</v>
      </c>
      <c r="T70" s="6">
        <f t="shared" si="33"/>
        <v>50587</v>
      </c>
      <c r="U70" s="6">
        <f t="shared" si="33"/>
        <v>50952</v>
      </c>
      <c r="V70" s="6">
        <f t="shared" si="33"/>
        <v>51318</v>
      </c>
      <c r="W70" s="6">
        <f t="shared" si="33"/>
        <v>51683</v>
      </c>
      <c r="X70" s="6">
        <f t="shared" si="33"/>
        <v>52048</v>
      </c>
      <c r="Y70" s="6">
        <f t="shared" si="33"/>
        <v>52413</v>
      </c>
      <c r="Z70" s="6">
        <f t="shared" si="33"/>
        <v>52779</v>
      </c>
      <c r="AA70" s="6">
        <f t="shared" si="33"/>
        <v>53144</v>
      </c>
      <c r="AB70" s="6">
        <f t="shared" si="33"/>
        <v>53509</v>
      </c>
      <c r="AC70" s="6">
        <f t="shared" si="33"/>
        <v>53874</v>
      </c>
      <c r="AD70" s="6">
        <f t="shared" si="33"/>
        <v>54240</v>
      </c>
      <c r="AE70" s="6">
        <f t="shared" si="33"/>
        <v>54605</v>
      </c>
    </row>
    <row r="71" spans="1:31" x14ac:dyDescent="0.25">
      <c r="A71" s="179" t="s">
        <v>39</v>
      </c>
      <c r="B71" s="180" t="str">
        <f>+B56</f>
        <v>2020-21</v>
      </c>
      <c r="C71" s="180" t="str">
        <f t="shared" si="33"/>
        <v>2021-22</v>
      </c>
      <c r="D71" s="180" t="str">
        <f t="shared" si="33"/>
        <v>2022-23</v>
      </c>
      <c r="E71" s="180" t="str">
        <f t="shared" si="33"/>
        <v>2023-24</v>
      </c>
      <c r="F71" s="180" t="str">
        <f t="shared" si="33"/>
        <v>2024-25</v>
      </c>
      <c r="G71" s="180" t="str">
        <f t="shared" si="33"/>
        <v>2025-26</v>
      </c>
      <c r="H71" s="180" t="str">
        <f t="shared" si="33"/>
        <v>2026-27</v>
      </c>
      <c r="I71" s="180" t="str">
        <f t="shared" si="33"/>
        <v>2027-28</v>
      </c>
      <c r="J71" s="180" t="str">
        <f t="shared" si="33"/>
        <v>2028-29</v>
      </c>
      <c r="K71" s="180" t="str">
        <f t="shared" si="33"/>
        <v>2029-30</v>
      </c>
      <c r="L71" s="180" t="str">
        <f t="shared" si="33"/>
        <v>2030-31</v>
      </c>
      <c r="M71" s="180" t="str">
        <f t="shared" si="33"/>
        <v>2031-32</v>
      </c>
      <c r="N71" s="180" t="str">
        <f t="shared" si="33"/>
        <v>2032-33</v>
      </c>
      <c r="O71" s="180" t="str">
        <f t="shared" si="33"/>
        <v>2033-34</v>
      </c>
      <c r="P71" s="180" t="str">
        <f t="shared" si="33"/>
        <v>2034-35</v>
      </c>
      <c r="Q71" s="180" t="str">
        <f t="shared" si="33"/>
        <v>2035-36</v>
      </c>
      <c r="R71" s="180" t="str">
        <f t="shared" si="33"/>
        <v>2036-37</v>
      </c>
      <c r="S71" s="180" t="str">
        <f t="shared" si="33"/>
        <v>2037-38</v>
      </c>
      <c r="T71" s="180" t="str">
        <f t="shared" si="33"/>
        <v>2038-39</v>
      </c>
      <c r="U71" s="180" t="str">
        <f t="shared" si="33"/>
        <v>2039-40</v>
      </c>
      <c r="V71" s="180" t="str">
        <f t="shared" si="33"/>
        <v>2040-41</v>
      </c>
      <c r="W71" s="180" t="str">
        <f t="shared" si="33"/>
        <v>2041-42</v>
      </c>
      <c r="X71" s="180" t="str">
        <f t="shared" si="33"/>
        <v>2042-43</v>
      </c>
      <c r="Y71" s="180" t="str">
        <f t="shared" si="33"/>
        <v>2043-44</v>
      </c>
      <c r="Z71" s="180" t="str">
        <f t="shared" si="33"/>
        <v>2044-45</v>
      </c>
      <c r="AA71" s="180" t="str">
        <f t="shared" si="33"/>
        <v>2045-46</v>
      </c>
      <c r="AB71" s="180" t="str">
        <f t="shared" si="33"/>
        <v>2046-47</v>
      </c>
      <c r="AC71" s="180" t="str">
        <f t="shared" si="33"/>
        <v>2047-48</v>
      </c>
      <c r="AD71" s="180" t="str">
        <f t="shared" si="33"/>
        <v>2048-49</v>
      </c>
      <c r="AE71" s="180" t="str">
        <f t="shared" si="33"/>
        <v>2049-50</v>
      </c>
    </row>
    <row r="72" spans="1:31" x14ac:dyDescent="0.25">
      <c r="A72" s="52" t="str">
        <f>+A57</f>
        <v>Market benefits (PV at 2020)</v>
      </c>
      <c r="B72" s="77">
        <v>0</v>
      </c>
      <c r="C72" s="77">
        <v>22.406804464678281</v>
      </c>
      <c r="D72" s="77">
        <v>23.774159804517193</v>
      </c>
      <c r="E72" s="77">
        <v>34.676904874085679</v>
      </c>
      <c r="F72" s="77">
        <v>47.997361633048016</v>
      </c>
      <c r="G72" s="77">
        <v>60.647638470196057</v>
      </c>
      <c r="H72" s="77">
        <v>9.7905287454870251</v>
      </c>
      <c r="I72" s="77">
        <v>118.99094507395867</v>
      </c>
      <c r="J72" s="77">
        <v>105.91309807536756</v>
      </c>
      <c r="K72" s="77">
        <v>85.751267437744701</v>
      </c>
      <c r="L72" s="77">
        <v>100.55761797271505</v>
      </c>
      <c r="M72" s="77">
        <v>141.01124758166475</v>
      </c>
      <c r="N72" s="77">
        <v>148.09887572626428</v>
      </c>
      <c r="O72" s="77">
        <v>161.64129892301958</v>
      </c>
      <c r="P72" s="77">
        <v>187.71595825373515</v>
      </c>
      <c r="Q72" s="77">
        <v>197.71824026575089</v>
      </c>
      <c r="R72" s="77">
        <v>196.46529158431824</v>
      </c>
      <c r="S72" s="77">
        <v>205.60824066408617</v>
      </c>
      <c r="T72" s="77">
        <v>208.89693041888688</v>
      </c>
      <c r="U72" s="77">
        <v>194.20082344771649</v>
      </c>
      <c r="V72" s="77">
        <v>204.26794144494258</v>
      </c>
      <c r="W72" s="77">
        <v>178.45256688678913</v>
      </c>
      <c r="X72" s="77">
        <v>231.8413272074028</v>
      </c>
      <c r="Y72" s="77">
        <v>233.26148883314443</v>
      </c>
      <c r="Z72" s="77">
        <v>216.62555244299989</v>
      </c>
      <c r="AA72" s="77">
        <v>200.95913010889262</v>
      </c>
      <c r="AB72" s="77">
        <v>205.46143513025299</v>
      </c>
      <c r="AC72" s="77">
        <v>176.09854524338726</v>
      </c>
      <c r="AD72" s="77">
        <v>150.75342911764619</v>
      </c>
      <c r="AE72" s="77">
        <v>129.05187493748298</v>
      </c>
    </row>
    <row r="73" spans="1:31" x14ac:dyDescent="0.25">
      <c r="A73" s="48" t="s">
        <v>42</v>
      </c>
      <c r="B73" s="49">
        <f t="shared" ref="B73:AE73" si="34">+B72/B69</f>
        <v>0</v>
      </c>
      <c r="C73" s="49">
        <f t="shared" si="34"/>
        <v>23.482331078982842</v>
      </c>
      <c r="D73" s="49">
        <f t="shared" si="34"/>
        <v>26.111254809940455</v>
      </c>
      <c r="E73" s="49">
        <f t="shared" si="34"/>
        <v>39.913900930707534</v>
      </c>
      <c r="F73" s="49">
        <f t="shared" si="34"/>
        <v>57.905295232790991</v>
      </c>
      <c r="G73" s="49">
        <f t="shared" si="34"/>
        <v>76.678938535072021</v>
      </c>
      <c r="H73" s="49">
        <f t="shared" si="34"/>
        <v>12.972677661290028</v>
      </c>
      <c r="I73" s="49">
        <f t="shared" si="34"/>
        <v>165.23371857777866</v>
      </c>
      <c r="J73" s="49">
        <f t="shared" si="34"/>
        <v>154.15282985158112</v>
      </c>
      <c r="K73" s="49">
        <f t="shared" si="34"/>
        <v>130.79877009070901</v>
      </c>
      <c r="L73" s="49">
        <f t="shared" si="34"/>
        <v>160.74570298667291</v>
      </c>
      <c r="M73" s="49">
        <f t="shared" si="34"/>
        <v>236.23238400319019</v>
      </c>
      <c r="N73" s="49">
        <f t="shared" si="34"/>
        <v>260.04859184315353</v>
      </c>
      <c r="O73" s="49">
        <f t="shared" si="34"/>
        <v>297.45163409712063</v>
      </c>
      <c r="P73" s="49">
        <f t="shared" si="34"/>
        <v>362.01494919887472</v>
      </c>
      <c r="Q73" s="49">
        <f t="shared" si="34"/>
        <v>399.60722264202047</v>
      </c>
      <c r="R73" s="49">
        <f t="shared" si="34"/>
        <v>416.18794523017669</v>
      </c>
      <c r="S73" s="49">
        <f t="shared" si="34"/>
        <v>456.46287290241122</v>
      </c>
      <c r="T73" s="49">
        <f t="shared" si="34"/>
        <v>486.02463568927965</v>
      </c>
      <c r="U73" s="49">
        <f t="shared" si="34"/>
        <v>473.52027012932336</v>
      </c>
      <c r="V73" s="49">
        <f t="shared" si="34"/>
        <v>522.04120908491745</v>
      </c>
      <c r="W73" s="49">
        <f t="shared" si="34"/>
        <v>477.95681296241054</v>
      </c>
      <c r="X73" s="49">
        <f t="shared" si="34"/>
        <v>650.75572013609371</v>
      </c>
      <c r="Y73" s="49">
        <f t="shared" si="34"/>
        <v>686.16958836811284</v>
      </c>
      <c r="Z73" s="49">
        <f t="shared" si="34"/>
        <v>667.90573540479147</v>
      </c>
      <c r="AA73" s="49">
        <f t="shared" si="34"/>
        <v>649.3435250978564</v>
      </c>
      <c r="AB73" s="49">
        <f t="shared" si="34"/>
        <v>695.75826192230693</v>
      </c>
      <c r="AC73" s="49">
        <f t="shared" si="34"/>
        <v>624.94976021622938</v>
      </c>
      <c r="AD73" s="49">
        <f t="shared" si="34"/>
        <v>560.75558029155297</v>
      </c>
      <c r="AE73" s="49">
        <f t="shared" si="34"/>
        <v>503.07415423349295</v>
      </c>
    </row>
    <row r="74" spans="1:31" x14ac:dyDescent="0.25">
      <c r="A74" s="50" t="s">
        <v>40</v>
      </c>
      <c r="B74" s="51">
        <f t="shared" ref="B74:H74" si="35">+B59</f>
        <v>0</v>
      </c>
      <c r="C74" s="51">
        <f t="shared" si="35"/>
        <v>0</v>
      </c>
      <c r="D74" s="51">
        <f t="shared" si="35"/>
        <v>0</v>
      </c>
      <c r="E74" s="51">
        <f t="shared" si="35"/>
        <v>0</v>
      </c>
      <c r="F74" s="51">
        <f t="shared" si="35"/>
        <v>0</v>
      </c>
      <c r="G74" s="51">
        <f t="shared" si="35"/>
        <v>0</v>
      </c>
      <c r="H74" s="51">
        <f t="shared" si="35"/>
        <v>0</v>
      </c>
      <c r="I74" s="51">
        <f>+I59</f>
        <v>15.788363499540408</v>
      </c>
      <c r="J74" s="51">
        <f t="shared" ref="J74:AE74" si="36">+J59</f>
        <v>15.876122651112929</v>
      </c>
      <c r="K74" s="51">
        <f t="shared" si="36"/>
        <v>15.961779131322926</v>
      </c>
      <c r="L74" s="51">
        <f t="shared" si="36"/>
        <v>16.048292176335021</v>
      </c>
      <c r="M74" s="51">
        <f t="shared" si="36"/>
        <v>16.135670351797238</v>
      </c>
      <c r="N74" s="51">
        <f t="shared" si="36"/>
        <v>16.223922309014075</v>
      </c>
      <c r="O74" s="51">
        <f t="shared" si="36"/>
        <v>16.313056785803084</v>
      </c>
      <c r="P74" s="51">
        <f t="shared" si="36"/>
        <v>16.40308260735998</v>
      </c>
      <c r="Q74" s="51">
        <f t="shared" si="36"/>
        <v>16.49400868713245</v>
      </c>
      <c r="R74" s="51">
        <f t="shared" si="36"/>
        <v>16.585844027702642</v>
      </c>
      <c r="S74" s="51">
        <f t="shared" si="36"/>
        <v>16.678597721678535</v>
      </c>
      <c r="T74" s="51">
        <f t="shared" si="36"/>
        <v>16.772278952594188</v>
      </c>
      <c r="U74" s="51">
        <f t="shared" si="36"/>
        <v>16.866896995818998</v>
      </c>
      <c r="V74" s="51">
        <f t="shared" si="36"/>
        <v>16.962461219476054</v>
      </c>
      <c r="W74" s="51">
        <f t="shared" si="36"/>
        <v>17.058981085369684</v>
      </c>
      <c r="X74" s="51">
        <f t="shared" si="36"/>
        <v>17.156466149922252</v>
      </c>
      <c r="Y74" s="51">
        <f t="shared" si="36"/>
        <v>17.25492606512034</v>
      </c>
      <c r="Z74" s="51">
        <f t="shared" si="36"/>
        <v>17.354370579470412</v>
      </c>
      <c r="AA74" s="51">
        <f t="shared" si="36"/>
        <v>17.454809538963978</v>
      </c>
      <c r="AB74" s="51">
        <f t="shared" si="36"/>
        <v>17.556252888052487</v>
      </c>
      <c r="AC74" s="51">
        <f t="shared" si="36"/>
        <v>17.658710670631876</v>
      </c>
      <c r="AD74" s="51">
        <f t="shared" si="36"/>
        <v>17.762193031037071</v>
      </c>
      <c r="AE74" s="51">
        <f t="shared" si="36"/>
        <v>17.866710215046304</v>
      </c>
    </row>
    <row r="75" spans="1:31" x14ac:dyDescent="0.25">
      <c r="A75" s="46" t="s">
        <v>41</v>
      </c>
      <c r="B75" s="47">
        <f>+B74+B73</f>
        <v>0</v>
      </c>
      <c r="C75" s="47">
        <f t="shared" ref="C75:AE75" si="37">+C74+C73</f>
        <v>23.482331078982842</v>
      </c>
      <c r="D75" s="47">
        <f t="shared" si="37"/>
        <v>26.111254809940455</v>
      </c>
      <c r="E75" s="47">
        <f t="shared" si="37"/>
        <v>39.913900930707534</v>
      </c>
      <c r="F75" s="47">
        <f t="shared" si="37"/>
        <v>57.905295232790991</v>
      </c>
      <c r="G75" s="47">
        <f t="shared" si="37"/>
        <v>76.678938535072021</v>
      </c>
      <c r="H75" s="47">
        <f t="shared" si="37"/>
        <v>12.972677661290028</v>
      </c>
      <c r="I75" s="47">
        <f t="shared" si="37"/>
        <v>181.02208207731906</v>
      </c>
      <c r="J75" s="47">
        <f t="shared" si="37"/>
        <v>170.02895250269404</v>
      </c>
      <c r="K75" s="47">
        <f t="shared" si="37"/>
        <v>146.76054922203193</v>
      </c>
      <c r="L75" s="47">
        <f t="shared" si="37"/>
        <v>176.79399516300793</v>
      </c>
      <c r="M75" s="47">
        <f t="shared" si="37"/>
        <v>252.36805435498744</v>
      </c>
      <c r="N75" s="47">
        <f t="shared" si="37"/>
        <v>276.27251415216762</v>
      </c>
      <c r="O75" s="47">
        <f t="shared" si="37"/>
        <v>313.76469088292373</v>
      </c>
      <c r="P75" s="47">
        <f t="shared" si="37"/>
        <v>378.41803180623469</v>
      </c>
      <c r="Q75" s="47">
        <f t="shared" si="37"/>
        <v>416.10123132915294</v>
      </c>
      <c r="R75" s="47">
        <f t="shared" si="37"/>
        <v>432.77378925787934</v>
      </c>
      <c r="S75" s="47">
        <f t="shared" si="37"/>
        <v>473.14147062408978</v>
      </c>
      <c r="T75" s="47">
        <f t="shared" si="37"/>
        <v>502.79691464187385</v>
      </c>
      <c r="U75" s="47">
        <f t="shared" si="37"/>
        <v>490.38716712514235</v>
      </c>
      <c r="V75" s="47">
        <f t="shared" si="37"/>
        <v>539.00367030439349</v>
      </c>
      <c r="W75" s="47">
        <f t="shared" si="37"/>
        <v>495.01579404778022</v>
      </c>
      <c r="X75" s="47">
        <f t="shared" si="37"/>
        <v>667.91218628601598</v>
      </c>
      <c r="Y75" s="47">
        <f t="shared" si="37"/>
        <v>703.42451443323318</v>
      </c>
      <c r="Z75" s="47">
        <f t="shared" si="37"/>
        <v>685.26010598426183</v>
      </c>
      <c r="AA75" s="47">
        <f t="shared" si="37"/>
        <v>666.79833463682041</v>
      </c>
      <c r="AB75" s="47">
        <f t="shared" si="37"/>
        <v>713.31451481035947</v>
      </c>
      <c r="AC75" s="47">
        <f t="shared" si="37"/>
        <v>642.60847088686126</v>
      </c>
      <c r="AD75" s="47">
        <f t="shared" si="37"/>
        <v>578.51777332259007</v>
      </c>
      <c r="AE75" s="47">
        <f t="shared" si="37"/>
        <v>520.94086444853929</v>
      </c>
    </row>
    <row r="76" spans="1:31" x14ac:dyDescent="0.25">
      <c r="A76" s="53" t="s">
        <v>67</v>
      </c>
      <c r="B76" s="181">
        <v>0</v>
      </c>
      <c r="C76" s="181">
        <v>0</v>
      </c>
      <c r="D76" s="181">
        <v>0</v>
      </c>
      <c r="E76" s="181">
        <v>0</v>
      </c>
      <c r="F76" s="181">
        <v>0</v>
      </c>
      <c r="G76" s="181">
        <v>0</v>
      </c>
      <c r="H76" s="181">
        <v>0</v>
      </c>
      <c r="I76" s="181">
        <f>+I61</f>
        <v>142.82816755571437</v>
      </c>
      <c r="J76" s="181">
        <f>+J61</f>
        <v>142.82816755571437</v>
      </c>
      <c r="K76" s="181">
        <f t="shared" ref="K76:AE76" si="38">+K61</f>
        <v>142.82816755571437</v>
      </c>
      <c r="L76" s="181">
        <f t="shared" si="38"/>
        <v>142.82816755571437</v>
      </c>
      <c r="M76" s="181">
        <f t="shared" si="38"/>
        <v>142.82816755571437</v>
      </c>
      <c r="N76" s="181">
        <f t="shared" si="38"/>
        <v>142.82816755571437</v>
      </c>
      <c r="O76" s="181">
        <f t="shared" si="38"/>
        <v>142.82816755571437</v>
      </c>
      <c r="P76" s="181">
        <f t="shared" si="38"/>
        <v>142.82816755571437</v>
      </c>
      <c r="Q76" s="181">
        <f t="shared" si="38"/>
        <v>142.82816755571437</v>
      </c>
      <c r="R76" s="181">
        <f t="shared" si="38"/>
        <v>142.82816755571437</v>
      </c>
      <c r="S76" s="181">
        <f t="shared" si="38"/>
        <v>142.82816755571437</v>
      </c>
      <c r="T76" s="181">
        <f t="shared" si="38"/>
        <v>142.82816755571437</v>
      </c>
      <c r="U76" s="181">
        <f t="shared" si="38"/>
        <v>142.82816755571437</v>
      </c>
      <c r="V76" s="181">
        <f t="shared" si="38"/>
        <v>142.82816755571437</v>
      </c>
      <c r="W76" s="181">
        <f t="shared" si="38"/>
        <v>142.82816755571437</v>
      </c>
      <c r="X76" s="181">
        <f t="shared" si="38"/>
        <v>142.82816755571437</v>
      </c>
      <c r="Y76" s="181">
        <f t="shared" si="38"/>
        <v>142.82816755571437</v>
      </c>
      <c r="Z76" s="181">
        <f t="shared" si="38"/>
        <v>142.82816755571437</v>
      </c>
      <c r="AA76" s="181">
        <f t="shared" si="38"/>
        <v>142.82816755571437</v>
      </c>
      <c r="AB76" s="181">
        <f t="shared" si="38"/>
        <v>142.82816755571437</v>
      </c>
      <c r="AC76" s="181">
        <f t="shared" si="38"/>
        <v>142.82816755571437</v>
      </c>
      <c r="AD76" s="181">
        <f t="shared" si="38"/>
        <v>142.82816755571437</v>
      </c>
      <c r="AE76" s="181">
        <f t="shared" si="38"/>
        <v>142.82816755571437</v>
      </c>
    </row>
    <row r="77" spans="1:31" x14ac:dyDescent="0.25">
      <c r="A77" t="s">
        <v>68</v>
      </c>
      <c r="B77" s="43">
        <f>XNPV(NotSlowWACC,B75:AE75,$B$10:$AE$10)</f>
        <v>4350.8229153080256</v>
      </c>
      <c r="C77" s="134"/>
      <c r="D77" s="135"/>
      <c r="E77" s="136"/>
      <c r="F77" s="137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</row>
    <row r="78" spans="1:31" x14ac:dyDescent="0.25">
      <c r="A78" t="s">
        <v>69</v>
      </c>
      <c r="B78" s="43">
        <f>+XNPV(NotSlowWACC,B76:AE76,$B$10:$AE$10)</f>
        <v>1481.2827754070554</v>
      </c>
      <c r="C78" s="134"/>
      <c r="D78" s="135"/>
      <c r="E78" s="136"/>
      <c r="F78" s="137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</row>
    <row r="79" spans="1:31" ht="15.75" thickBot="1" x14ac:dyDescent="0.3">
      <c r="A79" s="1" t="s">
        <v>119</v>
      </c>
      <c r="B79" s="68">
        <f>+B77-B78</f>
        <v>2869.5401399009702</v>
      </c>
      <c r="C79" s="134"/>
      <c r="D79" s="135"/>
      <c r="E79" s="136"/>
      <c r="F79" s="137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</row>
    <row r="80" spans="1:31" ht="15.75" thickTop="1" x14ac:dyDescent="0.25"/>
    <row r="81" spans="1:31" ht="15.75" thickBot="1" x14ac:dyDescent="0.3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</row>
    <row r="82" spans="1:31" ht="21" x14ac:dyDescent="0.35">
      <c r="A82" s="187" t="s">
        <v>132</v>
      </c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</row>
    <row r="83" spans="1:31" ht="19.5" thickBot="1" x14ac:dyDescent="0.35">
      <c r="A83" s="214" t="s">
        <v>153</v>
      </c>
      <c r="B83" s="21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</row>
    <row r="84" spans="1:31" ht="15.75" thickTop="1" x14ac:dyDescent="0.25">
      <c r="A84" s="71" t="str">
        <f>A6</f>
        <v>Option 2:  750 MW in 2027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</row>
    <row r="85" spans="1:31" x14ac:dyDescent="0.25">
      <c r="A85" s="210" t="str">
        <f>A7</f>
        <v xml:space="preserve">Scenario: </v>
      </c>
      <c r="B85" s="211" t="s">
        <v>100</v>
      </c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3"/>
    </row>
    <row r="86" spans="1:31" x14ac:dyDescent="0.25">
      <c r="B86" s="159">
        <v>1</v>
      </c>
      <c r="C86" s="159">
        <v>1</v>
      </c>
      <c r="D86" s="159">
        <v>1</v>
      </c>
      <c r="E86" s="159">
        <v>1</v>
      </c>
      <c r="F86" s="159">
        <v>1</v>
      </c>
      <c r="G86" s="159">
        <v>1</v>
      </c>
      <c r="H86" s="159">
        <v>1</v>
      </c>
      <c r="I86" s="159">
        <v>1</v>
      </c>
      <c r="J86" s="159">
        <v>1</v>
      </c>
      <c r="K86" s="159">
        <v>1</v>
      </c>
      <c r="L86" s="159">
        <v>1</v>
      </c>
      <c r="M86" s="159">
        <v>1</v>
      </c>
      <c r="N86" s="159">
        <v>1</v>
      </c>
      <c r="O86" s="159">
        <v>1</v>
      </c>
      <c r="P86" s="159">
        <v>1</v>
      </c>
      <c r="Q86" s="159">
        <v>1</v>
      </c>
      <c r="R86" s="159">
        <v>1</v>
      </c>
      <c r="S86" s="159">
        <v>1</v>
      </c>
      <c r="T86" s="159">
        <v>1</v>
      </c>
      <c r="U86" s="159">
        <v>1</v>
      </c>
      <c r="V86" s="159">
        <v>1</v>
      </c>
      <c r="W86" s="159">
        <v>1</v>
      </c>
      <c r="X86" s="159">
        <v>1</v>
      </c>
      <c r="Y86" s="159">
        <v>1</v>
      </c>
      <c r="Z86" s="159">
        <v>1</v>
      </c>
      <c r="AA86" s="159">
        <v>1</v>
      </c>
      <c r="AB86" s="159">
        <v>1</v>
      </c>
      <c r="AC86" s="159">
        <v>1</v>
      </c>
      <c r="AD86" s="159">
        <v>1</v>
      </c>
      <c r="AE86" s="159">
        <v>1</v>
      </c>
    </row>
    <row r="87" spans="1:31" x14ac:dyDescent="0.25">
      <c r="A87" s="179" t="s">
        <v>39</v>
      </c>
      <c r="B87" s="180" t="str">
        <f>+B71</f>
        <v>2020-21</v>
      </c>
      <c r="C87" s="180" t="str">
        <f t="shared" ref="C87:AE87" si="39">+C71</f>
        <v>2021-22</v>
      </c>
      <c r="D87" s="180" t="str">
        <f t="shared" si="39"/>
        <v>2022-23</v>
      </c>
      <c r="E87" s="180" t="str">
        <f t="shared" si="39"/>
        <v>2023-24</v>
      </c>
      <c r="F87" s="180" t="str">
        <f t="shared" si="39"/>
        <v>2024-25</v>
      </c>
      <c r="G87" s="180" t="str">
        <f t="shared" si="39"/>
        <v>2025-26</v>
      </c>
      <c r="H87" s="180" t="str">
        <f t="shared" si="39"/>
        <v>2026-27</v>
      </c>
      <c r="I87" s="180" t="str">
        <f t="shared" si="39"/>
        <v>2027-28</v>
      </c>
      <c r="J87" s="180" t="str">
        <f t="shared" si="39"/>
        <v>2028-29</v>
      </c>
      <c r="K87" s="180" t="str">
        <f t="shared" si="39"/>
        <v>2029-30</v>
      </c>
      <c r="L87" s="180" t="str">
        <f t="shared" si="39"/>
        <v>2030-31</v>
      </c>
      <c r="M87" s="180" t="str">
        <f t="shared" si="39"/>
        <v>2031-32</v>
      </c>
      <c r="N87" s="180" t="str">
        <f t="shared" si="39"/>
        <v>2032-33</v>
      </c>
      <c r="O87" s="180" t="str">
        <f t="shared" si="39"/>
        <v>2033-34</v>
      </c>
      <c r="P87" s="180" t="str">
        <f t="shared" si="39"/>
        <v>2034-35</v>
      </c>
      <c r="Q87" s="180" t="str">
        <f t="shared" si="39"/>
        <v>2035-36</v>
      </c>
      <c r="R87" s="180" t="str">
        <f t="shared" si="39"/>
        <v>2036-37</v>
      </c>
      <c r="S87" s="180" t="str">
        <f t="shared" si="39"/>
        <v>2037-38</v>
      </c>
      <c r="T87" s="180" t="str">
        <f t="shared" si="39"/>
        <v>2038-39</v>
      </c>
      <c r="U87" s="180" t="str">
        <f t="shared" si="39"/>
        <v>2039-40</v>
      </c>
      <c r="V87" s="180" t="str">
        <f t="shared" si="39"/>
        <v>2040-41</v>
      </c>
      <c r="W87" s="180" t="str">
        <f t="shared" si="39"/>
        <v>2041-42</v>
      </c>
      <c r="X87" s="180" t="str">
        <f t="shared" si="39"/>
        <v>2042-43</v>
      </c>
      <c r="Y87" s="180" t="str">
        <f t="shared" si="39"/>
        <v>2043-44</v>
      </c>
      <c r="Z87" s="180" t="str">
        <f t="shared" si="39"/>
        <v>2044-45</v>
      </c>
      <c r="AA87" s="180" t="str">
        <f t="shared" si="39"/>
        <v>2045-46</v>
      </c>
      <c r="AB87" s="180" t="str">
        <f t="shared" si="39"/>
        <v>2046-47</v>
      </c>
      <c r="AC87" s="180" t="str">
        <f t="shared" si="39"/>
        <v>2047-48</v>
      </c>
      <c r="AD87" s="180" t="str">
        <f t="shared" si="39"/>
        <v>2048-49</v>
      </c>
      <c r="AE87" s="180" t="str">
        <f t="shared" si="39"/>
        <v>2049-50</v>
      </c>
    </row>
    <row r="88" spans="1:31" x14ac:dyDescent="0.25">
      <c r="A88" s="191"/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3"/>
    </row>
    <row r="89" spans="1:31" x14ac:dyDescent="0.25">
      <c r="A89" s="191" t="s">
        <v>113</v>
      </c>
      <c r="B89" s="192"/>
      <c r="C89" s="192"/>
      <c r="D89" s="192"/>
      <c r="E89" s="192"/>
      <c r="F89" s="192"/>
      <c r="G89" s="192"/>
      <c r="H89" s="192"/>
      <c r="I89" s="192">
        <f>+'Project costs'!K9</f>
        <v>1619.5925998392656</v>
      </c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3"/>
    </row>
    <row r="90" spans="1:31" x14ac:dyDescent="0.25">
      <c r="A90" s="191" t="s">
        <v>114</v>
      </c>
      <c r="B90" s="192"/>
      <c r="C90" s="192"/>
      <c r="D90" s="192"/>
      <c r="E90" s="192"/>
      <c r="F90" s="192"/>
      <c r="G90" s="192"/>
      <c r="H90" s="192"/>
      <c r="I90" s="192">
        <f>+'Project costs'!M9</f>
        <v>565.39083273070219</v>
      </c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3"/>
    </row>
    <row r="91" spans="1:31" x14ac:dyDescent="0.25">
      <c r="A91" s="191"/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3"/>
    </row>
    <row r="92" spans="1:31" x14ac:dyDescent="0.25">
      <c r="A92" s="191" t="s">
        <v>142</v>
      </c>
      <c r="B92" s="192"/>
      <c r="C92" s="192"/>
      <c r="D92" s="192"/>
      <c r="E92" s="192"/>
      <c r="F92" s="192"/>
      <c r="G92" s="192"/>
      <c r="H92" s="192"/>
      <c r="I92" s="192">
        <f>+'Project costs'!$O9</f>
        <v>23.139108061749567</v>
      </c>
      <c r="J92" s="192">
        <f>+I92</f>
        <v>23.139108061749567</v>
      </c>
      <c r="K92" s="192">
        <f t="shared" ref="K92:AE93" si="40">+J92</f>
        <v>23.139108061749567</v>
      </c>
      <c r="L92" s="192">
        <f t="shared" si="40"/>
        <v>23.139108061749567</v>
      </c>
      <c r="M92" s="192">
        <f t="shared" si="40"/>
        <v>23.139108061749567</v>
      </c>
      <c r="N92" s="192">
        <f t="shared" si="40"/>
        <v>23.139108061749567</v>
      </c>
      <c r="O92" s="192">
        <f t="shared" si="40"/>
        <v>23.139108061749567</v>
      </c>
      <c r="P92" s="192">
        <f t="shared" si="40"/>
        <v>23.139108061749567</v>
      </c>
      <c r="Q92" s="192">
        <f t="shared" si="40"/>
        <v>23.139108061749567</v>
      </c>
      <c r="R92" s="192">
        <f t="shared" si="40"/>
        <v>23.139108061749567</v>
      </c>
      <c r="S92" s="192">
        <f t="shared" si="40"/>
        <v>23.139108061749567</v>
      </c>
      <c r="T92" s="192">
        <f t="shared" si="40"/>
        <v>23.139108061749567</v>
      </c>
      <c r="U92" s="192">
        <f t="shared" si="40"/>
        <v>23.139108061749567</v>
      </c>
      <c r="V92" s="192">
        <f t="shared" si="40"/>
        <v>23.139108061749567</v>
      </c>
      <c r="W92" s="192">
        <f t="shared" si="40"/>
        <v>23.139108061749567</v>
      </c>
      <c r="X92" s="192">
        <f t="shared" si="40"/>
        <v>23.139108061749567</v>
      </c>
      <c r="Y92" s="192">
        <f t="shared" si="40"/>
        <v>23.139108061749567</v>
      </c>
      <c r="Z92" s="192">
        <f t="shared" si="40"/>
        <v>23.139108061749567</v>
      </c>
      <c r="AA92" s="192">
        <f t="shared" si="40"/>
        <v>23.139108061749567</v>
      </c>
      <c r="AB92" s="192">
        <f t="shared" si="40"/>
        <v>23.139108061749567</v>
      </c>
      <c r="AC92" s="192">
        <f t="shared" si="40"/>
        <v>23.139108061749567</v>
      </c>
      <c r="AD92" s="192">
        <f t="shared" si="40"/>
        <v>23.139108061749567</v>
      </c>
      <c r="AE92" s="193">
        <f t="shared" si="40"/>
        <v>23.139108061749567</v>
      </c>
    </row>
    <row r="93" spans="1:31" x14ac:dyDescent="0.25">
      <c r="A93" s="194" t="s">
        <v>143</v>
      </c>
      <c r="B93" s="158"/>
      <c r="C93" s="158"/>
      <c r="D93" s="158"/>
      <c r="E93" s="158"/>
      <c r="F93" s="158"/>
      <c r="G93" s="158"/>
      <c r="H93" s="158"/>
      <c r="I93" s="158">
        <f>+'Project costs'!Q9</f>
        <v>4.5289365351629502</v>
      </c>
      <c r="J93" s="158">
        <f>+I93</f>
        <v>4.5289365351629502</v>
      </c>
      <c r="K93" s="158">
        <f t="shared" si="40"/>
        <v>4.5289365351629502</v>
      </c>
      <c r="L93" s="158">
        <f t="shared" si="40"/>
        <v>4.5289365351629502</v>
      </c>
      <c r="M93" s="158">
        <f t="shared" si="40"/>
        <v>4.5289365351629502</v>
      </c>
      <c r="N93" s="158">
        <f t="shared" si="40"/>
        <v>4.5289365351629502</v>
      </c>
      <c r="O93" s="158">
        <f t="shared" si="40"/>
        <v>4.5289365351629502</v>
      </c>
      <c r="P93" s="158">
        <f t="shared" si="40"/>
        <v>4.5289365351629502</v>
      </c>
      <c r="Q93" s="158">
        <f t="shared" si="40"/>
        <v>4.5289365351629502</v>
      </c>
      <c r="R93" s="158">
        <f t="shared" si="40"/>
        <v>4.5289365351629502</v>
      </c>
      <c r="S93" s="158">
        <f t="shared" si="40"/>
        <v>4.5289365351629502</v>
      </c>
      <c r="T93" s="158">
        <f t="shared" si="40"/>
        <v>4.5289365351629502</v>
      </c>
      <c r="U93" s="158">
        <f t="shared" si="40"/>
        <v>4.5289365351629502</v>
      </c>
      <c r="V93" s="158">
        <f t="shared" si="40"/>
        <v>4.5289365351629502</v>
      </c>
      <c r="W93" s="158">
        <f t="shared" si="40"/>
        <v>4.5289365351629502</v>
      </c>
      <c r="X93" s="158">
        <f t="shared" si="40"/>
        <v>4.5289365351629502</v>
      </c>
      <c r="Y93" s="158">
        <f t="shared" si="40"/>
        <v>4.5289365351629502</v>
      </c>
      <c r="Z93" s="158">
        <f t="shared" si="40"/>
        <v>4.5289365351629502</v>
      </c>
      <c r="AA93" s="158">
        <f t="shared" si="40"/>
        <v>4.5289365351629502</v>
      </c>
      <c r="AB93" s="158">
        <f t="shared" si="40"/>
        <v>4.5289365351629502</v>
      </c>
      <c r="AC93" s="158">
        <f t="shared" si="40"/>
        <v>4.5289365351629502</v>
      </c>
      <c r="AD93" s="158">
        <f t="shared" si="40"/>
        <v>4.5289365351629502</v>
      </c>
      <c r="AE93" s="195">
        <f t="shared" si="40"/>
        <v>4.5289365351629502</v>
      </c>
    </row>
    <row r="94" spans="1:31" x14ac:dyDescent="0.25">
      <c r="A94" s="185" t="s">
        <v>115</v>
      </c>
      <c r="B94" s="192">
        <f t="shared" ref="B94:AE94" si="41">SUM(B89:B93)</f>
        <v>0</v>
      </c>
      <c r="C94" s="192">
        <f t="shared" si="41"/>
        <v>0</v>
      </c>
      <c r="D94" s="192">
        <f t="shared" si="41"/>
        <v>0</v>
      </c>
      <c r="E94" s="192">
        <f t="shared" si="41"/>
        <v>0</v>
      </c>
      <c r="F94" s="192">
        <f t="shared" si="41"/>
        <v>0</v>
      </c>
      <c r="G94" s="192">
        <f t="shared" si="41"/>
        <v>0</v>
      </c>
      <c r="H94" s="192">
        <f t="shared" si="41"/>
        <v>0</v>
      </c>
      <c r="I94" s="192">
        <f t="shared" si="41"/>
        <v>2212.6514771668799</v>
      </c>
      <c r="J94" s="192">
        <f t="shared" si="41"/>
        <v>27.668044596912516</v>
      </c>
      <c r="K94" s="192">
        <f t="shared" si="41"/>
        <v>27.668044596912516</v>
      </c>
      <c r="L94" s="192">
        <f t="shared" si="41"/>
        <v>27.668044596912516</v>
      </c>
      <c r="M94" s="192">
        <f t="shared" si="41"/>
        <v>27.668044596912516</v>
      </c>
      <c r="N94" s="192">
        <f t="shared" si="41"/>
        <v>27.668044596912516</v>
      </c>
      <c r="O94" s="192">
        <f t="shared" si="41"/>
        <v>27.668044596912516</v>
      </c>
      <c r="P94" s="192">
        <f t="shared" si="41"/>
        <v>27.668044596912516</v>
      </c>
      <c r="Q94" s="192">
        <f t="shared" si="41"/>
        <v>27.668044596912516</v>
      </c>
      <c r="R94" s="192">
        <f t="shared" si="41"/>
        <v>27.668044596912516</v>
      </c>
      <c r="S94" s="192">
        <f t="shared" si="41"/>
        <v>27.668044596912516</v>
      </c>
      <c r="T94" s="192">
        <f t="shared" si="41"/>
        <v>27.668044596912516</v>
      </c>
      <c r="U94" s="192">
        <f t="shared" si="41"/>
        <v>27.668044596912516</v>
      </c>
      <c r="V94" s="192">
        <f t="shared" si="41"/>
        <v>27.668044596912516</v>
      </c>
      <c r="W94" s="192">
        <f t="shared" si="41"/>
        <v>27.668044596912516</v>
      </c>
      <c r="X94" s="192">
        <f t="shared" si="41"/>
        <v>27.668044596912516</v>
      </c>
      <c r="Y94" s="192">
        <f t="shared" si="41"/>
        <v>27.668044596912516</v>
      </c>
      <c r="Z94" s="192">
        <f t="shared" si="41"/>
        <v>27.668044596912516</v>
      </c>
      <c r="AA94" s="192">
        <f t="shared" si="41"/>
        <v>27.668044596912516</v>
      </c>
      <c r="AB94" s="192">
        <f t="shared" si="41"/>
        <v>27.668044596912516</v>
      </c>
      <c r="AC94" s="192">
        <f t="shared" si="41"/>
        <v>27.668044596912516</v>
      </c>
      <c r="AD94" s="192">
        <f t="shared" si="41"/>
        <v>27.668044596912516</v>
      </c>
      <c r="AE94" s="193">
        <f t="shared" si="41"/>
        <v>27.668044596912516</v>
      </c>
    </row>
    <row r="95" spans="1:31" x14ac:dyDescent="0.25">
      <c r="A95" s="185" t="s">
        <v>116</v>
      </c>
      <c r="B95" s="192">
        <v>0</v>
      </c>
      <c r="C95" s="192">
        <v>0</v>
      </c>
      <c r="D95" s="192">
        <v>0</v>
      </c>
      <c r="E95" s="192">
        <v>0</v>
      </c>
      <c r="F95" s="192">
        <v>0</v>
      </c>
      <c r="G95" s="192">
        <v>0</v>
      </c>
      <c r="H95" s="192">
        <v>0</v>
      </c>
      <c r="I95" s="192">
        <v>0</v>
      </c>
      <c r="J95" s="192">
        <v>0</v>
      </c>
      <c r="K95" s="192">
        <v>0</v>
      </c>
      <c r="L95" s="192">
        <v>0</v>
      </c>
      <c r="M95" s="192">
        <v>0</v>
      </c>
      <c r="N95" s="192">
        <v>0</v>
      </c>
      <c r="O95" s="192">
        <v>0</v>
      </c>
      <c r="P95" s="192">
        <v>0</v>
      </c>
      <c r="Q95" s="192">
        <v>0</v>
      </c>
      <c r="R95" s="192">
        <v>0</v>
      </c>
      <c r="S95" s="192">
        <v>0</v>
      </c>
      <c r="T95" s="192">
        <v>0</v>
      </c>
      <c r="U95" s="192">
        <v>0</v>
      </c>
      <c r="V95" s="192">
        <v>0</v>
      </c>
      <c r="W95" s="192">
        <v>0</v>
      </c>
      <c r="X95" s="192">
        <v>0</v>
      </c>
      <c r="Y95" s="192">
        <v>0</v>
      </c>
      <c r="Z95" s="192">
        <v>0</v>
      </c>
      <c r="AA95" s="192">
        <v>0</v>
      </c>
      <c r="AB95" s="192">
        <v>0</v>
      </c>
      <c r="AC95" s="192">
        <v>0</v>
      </c>
      <c r="AD95" s="192">
        <v>0</v>
      </c>
      <c r="AE95" s="193">
        <f>(+I89-(I89/40*SUM(I86:AE86,-1))+(I90-(I90/60*SUM(I86:AE86,-1))))*-1</f>
        <v>-1086.8975306571142</v>
      </c>
    </row>
    <row r="96" spans="1:31" x14ac:dyDescent="0.25">
      <c r="A96" s="185"/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63"/>
    </row>
    <row r="97" spans="1:31" x14ac:dyDescent="0.25">
      <c r="A97" s="164" t="s">
        <v>154</v>
      </c>
      <c r="B97" s="196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63"/>
    </row>
    <row r="98" spans="1:31" x14ac:dyDescent="0.25">
      <c r="A98" s="185" t="s">
        <v>160</v>
      </c>
      <c r="B98" s="196">
        <f>+XNPV(SlowWACC,$B$94:$AE$94,$B$10:$AE$10)+XNPV(SlowWACC,$B$95:$AE$95,$B$10:$AE$10)</f>
        <v>1649.6186435244854</v>
      </c>
      <c r="C98" s="198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63"/>
    </row>
    <row r="99" spans="1:31" x14ac:dyDescent="0.25">
      <c r="A99" s="217" t="s">
        <v>151</v>
      </c>
      <c r="B99" s="196">
        <f>+XNPV(NotSlowWACC,$B$94:$AE$94,$B$10:$AE$10)+XNPV(NotSlowWACC,$B$95:$AE$95,$B$10:$AE$10)</f>
        <v>1581.6173369459125</v>
      </c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63"/>
    </row>
    <row r="100" spans="1:31" x14ac:dyDescent="0.25">
      <c r="A100" s="185"/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63"/>
    </row>
    <row r="101" spans="1:31" x14ac:dyDescent="0.25">
      <c r="A101" s="185"/>
      <c r="B101" s="197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63"/>
    </row>
    <row r="102" spans="1:31" x14ac:dyDescent="0.25">
      <c r="A102" s="46" t="s">
        <v>1</v>
      </c>
      <c r="B102" s="237" t="s">
        <v>150</v>
      </c>
      <c r="C102" s="237" t="str">
        <f>+B22</f>
        <v>Central</v>
      </c>
      <c r="D102" s="237" t="str">
        <f>+B37</f>
        <v>High DER</v>
      </c>
      <c r="E102" s="237" t="str">
        <f>+B52</f>
        <v xml:space="preserve">Fast Change </v>
      </c>
      <c r="F102" s="237" t="str">
        <f>+B67</f>
        <v>Step Change</v>
      </c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63"/>
    </row>
    <row r="103" spans="1:31" x14ac:dyDescent="0.25">
      <c r="A103" s="164" t="s">
        <v>118</v>
      </c>
      <c r="B103" s="196">
        <f>+B17</f>
        <v>3003.5701259870939</v>
      </c>
      <c r="C103" s="196">
        <f>+B32</f>
        <v>2848.3100505713069</v>
      </c>
      <c r="D103" s="196">
        <f>+B47</f>
        <v>2848.1197001943137</v>
      </c>
      <c r="E103" s="196">
        <f>+B62</f>
        <v>3011.5895985333</v>
      </c>
      <c r="F103" s="196">
        <f>+B77</f>
        <v>4350.8229153080256</v>
      </c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63"/>
    </row>
    <row r="104" spans="1:31" ht="15.75" thickBot="1" x14ac:dyDescent="0.3">
      <c r="A104" s="199" t="s">
        <v>161</v>
      </c>
      <c r="B104" s="186">
        <f>+B98</f>
        <v>1649.6186435244854</v>
      </c>
      <c r="C104" s="186">
        <f>+B99</f>
        <v>1581.6173369459125</v>
      </c>
      <c r="D104" s="186">
        <f>+B99</f>
        <v>1581.6173369459125</v>
      </c>
      <c r="E104" s="186">
        <f>+B99</f>
        <v>1581.6173369459125</v>
      </c>
      <c r="F104" s="186">
        <f>+B99</f>
        <v>1581.6173369459125</v>
      </c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63"/>
    </row>
    <row r="105" spans="1:31" ht="15.75" thickTop="1" x14ac:dyDescent="0.25">
      <c r="A105" s="164" t="s">
        <v>119</v>
      </c>
      <c r="B105" s="196">
        <f>+B103-B104</f>
        <v>1353.9514824626085</v>
      </c>
      <c r="C105" s="196">
        <f>+C103-C104</f>
        <v>1266.6927136253944</v>
      </c>
      <c r="D105" s="196">
        <f t="shared" ref="D105:F105" si="42">+D103-D104</f>
        <v>1266.5023632484013</v>
      </c>
      <c r="E105" s="196">
        <f t="shared" si="42"/>
        <v>1429.9722615873875</v>
      </c>
      <c r="F105" s="196">
        <f t="shared" si="42"/>
        <v>2769.2055783621131</v>
      </c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63"/>
    </row>
    <row r="106" spans="1:31" ht="15.75" thickBot="1" x14ac:dyDescent="0.3">
      <c r="A106" s="200"/>
      <c r="B106" s="201"/>
      <c r="C106" s="201"/>
      <c r="D106" s="201"/>
      <c r="E106" s="201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202"/>
    </row>
    <row r="107" spans="1:31" ht="19.5" thickBot="1" x14ac:dyDescent="0.35">
      <c r="A107" s="219" t="s">
        <v>152</v>
      </c>
      <c r="B107" s="220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2"/>
    </row>
    <row r="108" spans="1:31" ht="15.75" thickTop="1" x14ac:dyDescent="0.25">
      <c r="A108" s="223" t="str">
        <f>A6</f>
        <v>Option 2:  750 MW in 2027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224"/>
    </row>
    <row r="109" spans="1:31" x14ac:dyDescent="0.25">
      <c r="A109" s="225" t="str">
        <f>A7</f>
        <v xml:space="preserve">Scenario: </v>
      </c>
      <c r="B109" s="74" t="str">
        <f>B7</f>
        <v xml:space="preserve">Slow Change </v>
      </c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226"/>
    </row>
    <row r="110" spans="1:31" x14ac:dyDescent="0.25">
      <c r="A110" s="227"/>
      <c r="B110" s="203">
        <v>1</v>
      </c>
      <c r="C110" s="204">
        <v>1</v>
      </c>
      <c r="D110" s="204">
        <v>1</v>
      </c>
      <c r="E110" s="204">
        <v>1</v>
      </c>
      <c r="F110" s="204">
        <v>1</v>
      </c>
      <c r="G110" s="204">
        <v>1</v>
      </c>
      <c r="H110" s="204">
        <v>1</v>
      </c>
      <c r="I110" s="204">
        <v>1</v>
      </c>
      <c r="J110" s="204">
        <v>1</v>
      </c>
      <c r="K110" s="204">
        <v>1</v>
      </c>
      <c r="L110" s="204">
        <v>1</v>
      </c>
      <c r="M110" s="204">
        <v>1</v>
      </c>
      <c r="N110" s="204">
        <v>1</v>
      </c>
      <c r="O110" s="204">
        <v>1</v>
      </c>
      <c r="P110" s="204">
        <v>1</v>
      </c>
      <c r="Q110" s="204">
        <v>1</v>
      </c>
      <c r="R110" s="204">
        <v>1</v>
      </c>
      <c r="S110" s="204">
        <v>1</v>
      </c>
      <c r="T110" s="204">
        <v>1</v>
      </c>
      <c r="U110" s="204">
        <v>1</v>
      </c>
      <c r="V110" s="204">
        <v>1</v>
      </c>
      <c r="W110" s="204">
        <v>1</v>
      </c>
      <c r="X110" s="204">
        <v>1</v>
      </c>
      <c r="Y110" s="204">
        <v>1</v>
      </c>
      <c r="Z110" s="204">
        <v>1</v>
      </c>
      <c r="AA110" s="204">
        <v>1</v>
      </c>
      <c r="AB110" s="204">
        <v>1</v>
      </c>
      <c r="AC110" s="204">
        <v>1</v>
      </c>
      <c r="AD110" s="204">
        <v>1</v>
      </c>
      <c r="AE110" s="228">
        <v>1</v>
      </c>
    </row>
    <row r="111" spans="1:31" x14ac:dyDescent="0.25">
      <c r="A111" s="229" t="s">
        <v>39</v>
      </c>
      <c r="B111" s="180" t="str">
        <f>+B87</f>
        <v>2020-21</v>
      </c>
      <c r="C111" s="180" t="str">
        <f t="shared" ref="C111:AE111" si="43">+C87</f>
        <v>2021-22</v>
      </c>
      <c r="D111" s="180" t="str">
        <f t="shared" si="43"/>
        <v>2022-23</v>
      </c>
      <c r="E111" s="180" t="str">
        <f t="shared" si="43"/>
        <v>2023-24</v>
      </c>
      <c r="F111" s="180" t="str">
        <f t="shared" si="43"/>
        <v>2024-25</v>
      </c>
      <c r="G111" s="180" t="str">
        <f t="shared" si="43"/>
        <v>2025-26</v>
      </c>
      <c r="H111" s="180" t="str">
        <f t="shared" si="43"/>
        <v>2026-27</v>
      </c>
      <c r="I111" s="180" t="str">
        <f t="shared" si="43"/>
        <v>2027-28</v>
      </c>
      <c r="J111" s="180" t="str">
        <f t="shared" si="43"/>
        <v>2028-29</v>
      </c>
      <c r="K111" s="180" t="str">
        <f t="shared" si="43"/>
        <v>2029-30</v>
      </c>
      <c r="L111" s="180" t="str">
        <f t="shared" si="43"/>
        <v>2030-31</v>
      </c>
      <c r="M111" s="180" t="str">
        <f t="shared" si="43"/>
        <v>2031-32</v>
      </c>
      <c r="N111" s="180" t="str">
        <f t="shared" si="43"/>
        <v>2032-33</v>
      </c>
      <c r="O111" s="180" t="str">
        <f t="shared" si="43"/>
        <v>2033-34</v>
      </c>
      <c r="P111" s="180" t="str">
        <f t="shared" si="43"/>
        <v>2034-35</v>
      </c>
      <c r="Q111" s="180" t="str">
        <f t="shared" si="43"/>
        <v>2035-36</v>
      </c>
      <c r="R111" s="180" t="str">
        <f t="shared" si="43"/>
        <v>2036-37</v>
      </c>
      <c r="S111" s="180" t="str">
        <f t="shared" si="43"/>
        <v>2037-38</v>
      </c>
      <c r="T111" s="180" t="str">
        <f t="shared" si="43"/>
        <v>2038-39</v>
      </c>
      <c r="U111" s="180" t="str">
        <f t="shared" si="43"/>
        <v>2039-40</v>
      </c>
      <c r="V111" s="180" t="str">
        <f t="shared" si="43"/>
        <v>2040-41</v>
      </c>
      <c r="W111" s="180" t="str">
        <f t="shared" si="43"/>
        <v>2041-42</v>
      </c>
      <c r="X111" s="180" t="str">
        <f t="shared" si="43"/>
        <v>2042-43</v>
      </c>
      <c r="Y111" s="180" t="str">
        <f t="shared" si="43"/>
        <v>2043-44</v>
      </c>
      <c r="Z111" s="180" t="str">
        <f t="shared" si="43"/>
        <v>2044-45</v>
      </c>
      <c r="AA111" s="180" t="str">
        <f t="shared" si="43"/>
        <v>2045-46</v>
      </c>
      <c r="AB111" s="180" t="str">
        <f t="shared" si="43"/>
        <v>2046-47</v>
      </c>
      <c r="AC111" s="180" t="str">
        <f t="shared" si="43"/>
        <v>2047-48</v>
      </c>
      <c r="AD111" s="180" t="str">
        <f t="shared" si="43"/>
        <v>2048-49</v>
      </c>
      <c r="AE111" s="230" t="str">
        <f t="shared" si="43"/>
        <v>2049-50</v>
      </c>
    </row>
    <row r="112" spans="1:31" x14ac:dyDescent="0.25">
      <c r="A112" s="191"/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3"/>
    </row>
    <row r="113" spans="1:31" x14ac:dyDescent="0.25">
      <c r="A113" s="191" t="s">
        <v>136</v>
      </c>
      <c r="B113" s="192">
        <f t="shared" ref="B113:AE113" si="44">+B15</f>
        <v>0</v>
      </c>
      <c r="C113" s="192">
        <f t="shared" si="44"/>
        <v>-2.8560653548445933E-4</v>
      </c>
      <c r="D113" s="192">
        <f t="shared" si="44"/>
        <v>-0.58332736195498136</v>
      </c>
      <c r="E113" s="192">
        <f t="shared" si="44"/>
        <v>-0.82805183034968222</v>
      </c>
      <c r="F113" s="192">
        <f t="shared" si="44"/>
        <v>-16.5582984469557</v>
      </c>
      <c r="G113" s="192">
        <f t="shared" si="44"/>
        <v>14.75326660171867</v>
      </c>
      <c r="H113" s="192">
        <f t="shared" si="44"/>
        <v>11.768391569018455</v>
      </c>
      <c r="I113" s="192">
        <f t="shared" si="44"/>
        <v>172.47182837540154</v>
      </c>
      <c r="J113" s="192">
        <f t="shared" si="44"/>
        <v>473.76756274956455</v>
      </c>
      <c r="K113" s="192">
        <f t="shared" si="44"/>
        <v>188.74859081853762</v>
      </c>
      <c r="L113" s="192">
        <f t="shared" si="44"/>
        <v>178.08252195431248</v>
      </c>
      <c r="M113" s="192">
        <f t="shared" si="44"/>
        <v>165.13334294628544</v>
      </c>
      <c r="N113" s="192">
        <f t="shared" si="44"/>
        <v>180.95587317862862</v>
      </c>
      <c r="O113" s="192">
        <f t="shared" si="44"/>
        <v>185.48374015594715</v>
      </c>
      <c r="P113" s="192">
        <f t="shared" si="44"/>
        <v>192.64288731869823</v>
      </c>
      <c r="Q113" s="192">
        <f t="shared" si="44"/>
        <v>178.73121933378405</v>
      </c>
      <c r="R113" s="192">
        <f t="shared" si="44"/>
        <v>187.95133800638422</v>
      </c>
      <c r="S113" s="192">
        <f t="shared" si="44"/>
        <v>200.14839259871749</v>
      </c>
      <c r="T113" s="192">
        <f t="shared" si="44"/>
        <v>526.24907970186791</v>
      </c>
      <c r="U113" s="192">
        <f t="shared" si="44"/>
        <v>275.78026977594163</v>
      </c>
      <c r="V113" s="192">
        <f t="shared" si="44"/>
        <v>206.21719496130061</v>
      </c>
      <c r="W113" s="192">
        <f t="shared" si="44"/>
        <v>202.59608292447422</v>
      </c>
      <c r="X113" s="192">
        <f t="shared" si="44"/>
        <v>214.98187852155962</v>
      </c>
      <c r="Y113" s="192">
        <f t="shared" si="44"/>
        <v>237.16470206544162</v>
      </c>
      <c r="Z113" s="192">
        <f t="shared" si="44"/>
        <v>253.81967605323794</v>
      </c>
      <c r="AA113" s="192">
        <f t="shared" si="44"/>
        <v>233.77199625519026</v>
      </c>
      <c r="AB113" s="192">
        <f t="shared" si="44"/>
        <v>223.68331330566639</v>
      </c>
      <c r="AC113" s="192">
        <f t="shared" si="44"/>
        <v>217.20409111541503</v>
      </c>
      <c r="AD113" s="192">
        <f t="shared" si="44"/>
        <v>473.44466846984687</v>
      </c>
      <c r="AE113" s="193">
        <f t="shared" si="44"/>
        <v>514.2243913966355</v>
      </c>
    </row>
    <row r="114" spans="1:31" x14ac:dyDescent="0.25">
      <c r="A114" s="194" t="s">
        <v>137</v>
      </c>
      <c r="B114" s="158">
        <v>0</v>
      </c>
      <c r="C114" s="158">
        <v>0</v>
      </c>
      <c r="D114" s="158">
        <v>0</v>
      </c>
      <c r="E114" s="158">
        <v>0</v>
      </c>
      <c r="F114" s="158">
        <v>0</v>
      </c>
      <c r="G114" s="158">
        <v>0</v>
      </c>
      <c r="H114" s="158">
        <v>0</v>
      </c>
      <c r="I114" s="158">
        <v>0</v>
      </c>
      <c r="J114" s="158">
        <v>0</v>
      </c>
      <c r="K114" s="158">
        <v>0</v>
      </c>
      <c r="L114" s="158">
        <v>0</v>
      </c>
      <c r="M114" s="158">
        <v>0</v>
      </c>
      <c r="N114" s="158">
        <v>0</v>
      </c>
      <c r="O114" s="158">
        <v>0</v>
      </c>
      <c r="P114" s="158">
        <v>0</v>
      </c>
      <c r="Q114" s="158">
        <v>0</v>
      </c>
      <c r="R114" s="158">
        <v>0</v>
      </c>
      <c r="S114" s="158">
        <v>0</v>
      </c>
      <c r="T114" s="158">
        <v>0</v>
      </c>
      <c r="U114" s="158">
        <v>0</v>
      </c>
      <c r="V114" s="158">
        <v>0</v>
      </c>
      <c r="W114" s="158">
        <v>0</v>
      </c>
      <c r="X114" s="158">
        <v>0</v>
      </c>
      <c r="Y114" s="158">
        <v>0</v>
      </c>
      <c r="Z114" s="158">
        <v>0</v>
      </c>
      <c r="AA114" s="158">
        <v>0</v>
      </c>
      <c r="AB114" s="158">
        <v>0</v>
      </c>
      <c r="AC114" s="158">
        <v>0</v>
      </c>
      <c r="AD114" s="158">
        <v>0</v>
      </c>
      <c r="AE114" s="195">
        <f>+PV(SlowWACC,(40-SUM(I110:AE110)),AVERAGE(Y113:AC113))*-1</f>
        <v>2880.6698549705325</v>
      </c>
    </row>
    <row r="115" spans="1:31" x14ac:dyDescent="0.25">
      <c r="A115" s="185" t="s">
        <v>138</v>
      </c>
      <c r="B115" s="192">
        <f>SUM(B113:B114)</f>
        <v>0</v>
      </c>
      <c r="C115" s="192">
        <f t="shared" ref="C115:AE115" si="45">SUM(C113:C114)</f>
        <v>-2.8560653548445933E-4</v>
      </c>
      <c r="D115" s="192">
        <f t="shared" si="45"/>
        <v>-0.58332736195498136</v>
      </c>
      <c r="E115" s="192">
        <f t="shared" si="45"/>
        <v>-0.82805183034968222</v>
      </c>
      <c r="F115" s="192">
        <f t="shared" si="45"/>
        <v>-16.5582984469557</v>
      </c>
      <c r="G115" s="192">
        <f t="shared" si="45"/>
        <v>14.75326660171867</v>
      </c>
      <c r="H115" s="192">
        <f t="shared" si="45"/>
        <v>11.768391569018455</v>
      </c>
      <c r="I115" s="192">
        <f t="shared" si="45"/>
        <v>172.47182837540154</v>
      </c>
      <c r="J115" s="192">
        <f t="shared" si="45"/>
        <v>473.76756274956455</v>
      </c>
      <c r="K115" s="192">
        <f t="shared" si="45"/>
        <v>188.74859081853762</v>
      </c>
      <c r="L115" s="192">
        <f t="shared" si="45"/>
        <v>178.08252195431248</v>
      </c>
      <c r="M115" s="192">
        <f t="shared" si="45"/>
        <v>165.13334294628544</v>
      </c>
      <c r="N115" s="192">
        <f t="shared" si="45"/>
        <v>180.95587317862862</v>
      </c>
      <c r="O115" s="192">
        <f t="shared" si="45"/>
        <v>185.48374015594715</v>
      </c>
      <c r="P115" s="192">
        <f t="shared" si="45"/>
        <v>192.64288731869823</v>
      </c>
      <c r="Q115" s="192">
        <f t="shared" si="45"/>
        <v>178.73121933378405</v>
      </c>
      <c r="R115" s="192">
        <f t="shared" si="45"/>
        <v>187.95133800638422</v>
      </c>
      <c r="S115" s="192">
        <f t="shared" si="45"/>
        <v>200.14839259871749</v>
      </c>
      <c r="T115" s="192">
        <f t="shared" si="45"/>
        <v>526.24907970186791</v>
      </c>
      <c r="U115" s="192">
        <f t="shared" si="45"/>
        <v>275.78026977594163</v>
      </c>
      <c r="V115" s="192">
        <f t="shared" si="45"/>
        <v>206.21719496130061</v>
      </c>
      <c r="W115" s="192">
        <f t="shared" si="45"/>
        <v>202.59608292447422</v>
      </c>
      <c r="X115" s="192">
        <f t="shared" si="45"/>
        <v>214.98187852155962</v>
      </c>
      <c r="Y115" s="192">
        <f t="shared" si="45"/>
        <v>237.16470206544162</v>
      </c>
      <c r="Z115" s="192">
        <f t="shared" si="45"/>
        <v>253.81967605323794</v>
      </c>
      <c r="AA115" s="192">
        <f t="shared" si="45"/>
        <v>233.77199625519026</v>
      </c>
      <c r="AB115" s="192">
        <f t="shared" si="45"/>
        <v>223.68331330566639</v>
      </c>
      <c r="AC115" s="192">
        <f t="shared" si="45"/>
        <v>217.20409111541503</v>
      </c>
      <c r="AD115" s="192">
        <f t="shared" si="45"/>
        <v>473.44466846984687</v>
      </c>
      <c r="AE115" s="193">
        <f t="shared" si="45"/>
        <v>3394.8942463671679</v>
      </c>
    </row>
    <row r="116" spans="1:31" x14ac:dyDescent="0.25">
      <c r="A116" s="185"/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3"/>
    </row>
    <row r="117" spans="1:31" x14ac:dyDescent="0.25">
      <c r="A117" s="185" t="s">
        <v>139</v>
      </c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3"/>
    </row>
    <row r="118" spans="1:31" x14ac:dyDescent="0.25">
      <c r="A118" s="185" t="s">
        <v>140</v>
      </c>
      <c r="B118" s="192">
        <v>0</v>
      </c>
      <c r="C118" s="192">
        <v>0</v>
      </c>
      <c r="D118" s="192">
        <v>0</v>
      </c>
      <c r="E118" s="192">
        <v>0</v>
      </c>
      <c r="F118" s="192">
        <v>0</v>
      </c>
      <c r="G118" s="192">
        <v>0</v>
      </c>
      <c r="H118" s="192">
        <v>0</v>
      </c>
      <c r="I118" s="192">
        <v>0</v>
      </c>
      <c r="J118" s="192">
        <v>0</v>
      </c>
      <c r="K118" s="192">
        <v>0</v>
      </c>
      <c r="L118" s="192">
        <v>0</v>
      </c>
      <c r="M118" s="192">
        <v>0</v>
      </c>
      <c r="N118" s="192">
        <v>0</v>
      </c>
      <c r="O118" s="192">
        <v>0</v>
      </c>
      <c r="P118" s="192">
        <v>0</v>
      </c>
      <c r="Q118" s="192">
        <v>0</v>
      </c>
      <c r="R118" s="192">
        <v>0</v>
      </c>
      <c r="S118" s="192">
        <v>0</v>
      </c>
      <c r="T118" s="192">
        <v>0</v>
      </c>
      <c r="U118" s="192">
        <v>0</v>
      </c>
      <c r="V118" s="192">
        <v>0</v>
      </c>
      <c r="W118" s="192">
        <v>0</v>
      </c>
      <c r="X118" s="192">
        <v>0</v>
      </c>
      <c r="Y118" s="192">
        <v>0</v>
      </c>
      <c r="Z118" s="192">
        <v>0</v>
      </c>
      <c r="AA118" s="192">
        <v>0</v>
      </c>
      <c r="AB118" s="192">
        <v>0</v>
      </c>
      <c r="AC118" s="192">
        <v>0</v>
      </c>
      <c r="AD118" s="192">
        <v>0</v>
      </c>
      <c r="AE118" s="193">
        <f>+PV(SlowWACC,40-SUM(I110:AE110),AVERAGE(AA92:AE92))*-1</f>
        <v>285.91981648671884</v>
      </c>
    </row>
    <row r="119" spans="1:31" x14ac:dyDescent="0.25">
      <c r="A119" s="231" t="s">
        <v>141</v>
      </c>
      <c r="B119" s="158">
        <v>0</v>
      </c>
      <c r="C119" s="158">
        <v>0</v>
      </c>
      <c r="D119" s="158">
        <v>0</v>
      </c>
      <c r="E119" s="158">
        <v>0</v>
      </c>
      <c r="F119" s="158">
        <v>0</v>
      </c>
      <c r="G119" s="158">
        <v>0</v>
      </c>
      <c r="H119" s="158">
        <v>0</v>
      </c>
      <c r="I119" s="158">
        <v>0</v>
      </c>
      <c r="J119" s="158">
        <v>0</v>
      </c>
      <c r="K119" s="158">
        <v>0</v>
      </c>
      <c r="L119" s="158">
        <v>0</v>
      </c>
      <c r="M119" s="158">
        <v>0</v>
      </c>
      <c r="N119" s="158">
        <v>0</v>
      </c>
      <c r="O119" s="158">
        <v>0</v>
      </c>
      <c r="P119" s="158">
        <v>0</v>
      </c>
      <c r="Q119" s="158">
        <v>0</v>
      </c>
      <c r="R119" s="158">
        <v>0</v>
      </c>
      <c r="S119" s="158">
        <v>0</v>
      </c>
      <c r="T119" s="158">
        <v>0</v>
      </c>
      <c r="U119" s="158">
        <v>0</v>
      </c>
      <c r="V119" s="158">
        <v>0</v>
      </c>
      <c r="W119" s="158">
        <v>0</v>
      </c>
      <c r="X119" s="158">
        <v>0</v>
      </c>
      <c r="Y119" s="158">
        <v>0</v>
      </c>
      <c r="Z119" s="158">
        <v>0</v>
      </c>
      <c r="AA119" s="158">
        <v>0</v>
      </c>
      <c r="AB119" s="158">
        <v>0</v>
      </c>
      <c r="AC119" s="158">
        <v>0</v>
      </c>
      <c r="AD119" s="158">
        <v>0</v>
      </c>
      <c r="AE119" s="195">
        <f>+PV(SlowWACC,40-SUM(I110:AE110),AVERAGE(AA93:AE93))*-1</f>
        <v>55.962083739708234</v>
      </c>
    </row>
    <row r="120" spans="1:31" x14ac:dyDescent="0.25">
      <c r="A120" s="185" t="s">
        <v>144</v>
      </c>
      <c r="B120" s="232">
        <f>+SUM(B118:B119)</f>
        <v>0</v>
      </c>
      <c r="C120" s="232">
        <f t="shared" ref="C120:AE120" si="46">+SUM(C118:C119)</f>
        <v>0</v>
      </c>
      <c r="D120" s="232">
        <f t="shared" si="46"/>
        <v>0</v>
      </c>
      <c r="E120" s="232">
        <f t="shared" si="46"/>
        <v>0</v>
      </c>
      <c r="F120" s="232">
        <f t="shared" si="46"/>
        <v>0</v>
      </c>
      <c r="G120" s="232">
        <f t="shared" si="46"/>
        <v>0</v>
      </c>
      <c r="H120" s="232">
        <f t="shared" si="46"/>
        <v>0</v>
      </c>
      <c r="I120" s="232">
        <f t="shared" si="46"/>
        <v>0</v>
      </c>
      <c r="J120" s="232">
        <f t="shared" si="46"/>
        <v>0</v>
      </c>
      <c r="K120" s="232">
        <f t="shared" si="46"/>
        <v>0</v>
      </c>
      <c r="L120" s="232">
        <f t="shared" si="46"/>
        <v>0</v>
      </c>
      <c r="M120" s="232">
        <f t="shared" si="46"/>
        <v>0</v>
      </c>
      <c r="N120" s="232">
        <f t="shared" si="46"/>
        <v>0</v>
      </c>
      <c r="O120" s="232">
        <f t="shared" si="46"/>
        <v>0</v>
      </c>
      <c r="P120" s="232">
        <f t="shared" si="46"/>
        <v>0</v>
      </c>
      <c r="Q120" s="232">
        <f t="shared" si="46"/>
        <v>0</v>
      </c>
      <c r="R120" s="232">
        <f t="shared" si="46"/>
        <v>0</v>
      </c>
      <c r="S120" s="232">
        <f t="shared" si="46"/>
        <v>0</v>
      </c>
      <c r="T120" s="232">
        <f t="shared" si="46"/>
        <v>0</v>
      </c>
      <c r="U120" s="232">
        <f t="shared" si="46"/>
        <v>0</v>
      </c>
      <c r="V120" s="232">
        <f t="shared" si="46"/>
        <v>0</v>
      </c>
      <c r="W120" s="232">
        <f t="shared" si="46"/>
        <v>0</v>
      </c>
      <c r="X120" s="232">
        <f t="shared" si="46"/>
        <v>0</v>
      </c>
      <c r="Y120" s="232">
        <f t="shared" si="46"/>
        <v>0</v>
      </c>
      <c r="Z120" s="232">
        <f t="shared" si="46"/>
        <v>0</v>
      </c>
      <c r="AA120" s="232">
        <f t="shared" si="46"/>
        <v>0</v>
      </c>
      <c r="AB120" s="232">
        <f t="shared" si="46"/>
        <v>0</v>
      </c>
      <c r="AC120" s="232">
        <f t="shared" si="46"/>
        <v>0</v>
      </c>
      <c r="AD120" s="232">
        <f t="shared" si="46"/>
        <v>0</v>
      </c>
      <c r="AE120" s="233">
        <f t="shared" si="46"/>
        <v>341.88190022642709</v>
      </c>
    </row>
    <row r="121" spans="1:31" x14ac:dyDescent="0.25">
      <c r="A121" s="185"/>
      <c r="B121" s="184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3"/>
    </row>
    <row r="122" spans="1:31" x14ac:dyDescent="0.25">
      <c r="A122" s="185" t="s">
        <v>118</v>
      </c>
      <c r="B122" s="196">
        <f>XNPV(SlowWACC,B115:AE115,$B$10:$AE$10)</f>
        <v>3979.5921145498924</v>
      </c>
      <c r="C122" s="184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4"/>
      <c r="AE122" s="163"/>
    </row>
    <row r="123" spans="1:31" ht="15.75" thickBot="1" x14ac:dyDescent="0.3">
      <c r="A123" s="234" t="s">
        <v>117</v>
      </c>
      <c r="B123" s="186">
        <f>+B98+XNPV(SlowWACC,$B$120:$AE$120,$B$10:$AE$10)</f>
        <v>1765.4542890209177</v>
      </c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63"/>
    </row>
    <row r="124" spans="1:31" ht="15.75" thickTop="1" x14ac:dyDescent="0.25">
      <c r="A124" s="164" t="s">
        <v>119</v>
      </c>
      <c r="B124" s="196">
        <f>+B122-B123</f>
        <v>2214.1378255289746</v>
      </c>
      <c r="C124" s="184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63"/>
    </row>
    <row r="125" spans="1:31" ht="15.75" thickBot="1" x14ac:dyDescent="0.3">
      <c r="A125" s="164"/>
      <c r="B125" s="196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C125" s="184"/>
      <c r="AD125" s="184"/>
      <c r="AE125" s="163"/>
    </row>
    <row r="126" spans="1:31" ht="15.75" thickTop="1" x14ac:dyDescent="0.25">
      <c r="A126" s="223" t="str">
        <f>+A21</f>
        <v>Option 2:  750 MW in 2027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224"/>
    </row>
    <row r="127" spans="1:31" x14ac:dyDescent="0.25">
      <c r="A127" s="225" t="str">
        <f>+A22</f>
        <v xml:space="preserve">Scenario: </v>
      </c>
      <c r="B127" s="74" t="str">
        <f>+B22</f>
        <v>Central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226"/>
    </row>
    <row r="128" spans="1:31" x14ac:dyDescent="0.25">
      <c r="A128" s="185"/>
      <c r="B128" s="189">
        <v>1</v>
      </c>
      <c r="C128" s="189">
        <v>1</v>
      </c>
      <c r="D128" s="189">
        <v>1</v>
      </c>
      <c r="E128" s="189">
        <v>1</v>
      </c>
      <c r="F128" s="189">
        <v>1</v>
      </c>
      <c r="G128" s="189">
        <v>1</v>
      </c>
      <c r="H128" s="189">
        <v>1</v>
      </c>
      <c r="I128" s="189">
        <v>1</v>
      </c>
      <c r="J128" s="189">
        <v>1</v>
      </c>
      <c r="K128" s="189">
        <v>1</v>
      </c>
      <c r="L128" s="189">
        <v>1</v>
      </c>
      <c r="M128" s="189">
        <v>1</v>
      </c>
      <c r="N128" s="189">
        <v>1</v>
      </c>
      <c r="O128" s="189">
        <v>1</v>
      </c>
      <c r="P128" s="189">
        <v>1</v>
      </c>
      <c r="Q128" s="189">
        <v>1</v>
      </c>
      <c r="R128" s="189">
        <v>1</v>
      </c>
      <c r="S128" s="189">
        <v>1</v>
      </c>
      <c r="T128" s="189">
        <v>1</v>
      </c>
      <c r="U128" s="189">
        <v>1</v>
      </c>
      <c r="V128" s="189">
        <v>1</v>
      </c>
      <c r="W128" s="189">
        <v>1</v>
      </c>
      <c r="X128" s="189">
        <v>1</v>
      </c>
      <c r="Y128" s="189">
        <v>1</v>
      </c>
      <c r="Z128" s="189">
        <v>1</v>
      </c>
      <c r="AA128" s="189">
        <v>1</v>
      </c>
      <c r="AB128" s="189">
        <v>1</v>
      </c>
      <c r="AC128" s="189">
        <v>1</v>
      </c>
      <c r="AD128" s="189">
        <v>1</v>
      </c>
      <c r="AE128" s="190">
        <v>1</v>
      </c>
    </row>
    <row r="129" spans="1:31" x14ac:dyDescent="0.25">
      <c r="A129" s="229" t="s">
        <v>39</v>
      </c>
      <c r="B129" s="180" t="str">
        <f t="shared" ref="B129:AE129" si="47">+B111</f>
        <v>2020-21</v>
      </c>
      <c r="C129" s="180" t="str">
        <f t="shared" si="47"/>
        <v>2021-22</v>
      </c>
      <c r="D129" s="180" t="str">
        <f t="shared" si="47"/>
        <v>2022-23</v>
      </c>
      <c r="E129" s="180" t="str">
        <f t="shared" si="47"/>
        <v>2023-24</v>
      </c>
      <c r="F129" s="180" t="str">
        <f t="shared" si="47"/>
        <v>2024-25</v>
      </c>
      <c r="G129" s="180" t="str">
        <f t="shared" si="47"/>
        <v>2025-26</v>
      </c>
      <c r="H129" s="180" t="str">
        <f t="shared" si="47"/>
        <v>2026-27</v>
      </c>
      <c r="I129" s="180" t="str">
        <f t="shared" si="47"/>
        <v>2027-28</v>
      </c>
      <c r="J129" s="180" t="str">
        <f t="shared" si="47"/>
        <v>2028-29</v>
      </c>
      <c r="K129" s="180" t="str">
        <f t="shared" si="47"/>
        <v>2029-30</v>
      </c>
      <c r="L129" s="180" t="str">
        <f t="shared" si="47"/>
        <v>2030-31</v>
      </c>
      <c r="M129" s="180" t="str">
        <f t="shared" si="47"/>
        <v>2031-32</v>
      </c>
      <c r="N129" s="180" t="str">
        <f t="shared" si="47"/>
        <v>2032-33</v>
      </c>
      <c r="O129" s="180" t="str">
        <f t="shared" si="47"/>
        <v>2033-34</v>
      </c>
      <c r="P129" s="180" t="str">
        <f t="shared" si="47"/>
        <v>2034-35</v>
      </c>
      <c r="Q129" s="180" t="str">
        <f t="shared" si="47"/>
        <v>2035-36</v>
      </c>
      <c r="R129" s="180" t="str">
        <f t="shared" si="47"/>
        <v>2036-37</v>
      </c>
      <c r="S129" s="180" t="str">
        <f t="shared" si="47"/>
        <v>2037-38</v>
      </c>
      <c r="T129" s="180" t="str">
        <f t="shared" si="47"/>
        <v>2038-39</v>
      </c>
      <c r="U129" s="180" t="str">
        <f t="shared" si="47"/>
        <v>2039-40</v>
      </c>
      <c r="V129" s="180" t="str">
        <f t="shared" si="47"/>
        <v>2040-41</v>
      </c>
      <c r="W129" s="180" t="str">
        <f t="shared" si="47"/>
        <v>2041-42</v>
      </c>
      <c r="X129" s="180" t="str">
        <f t="shared" si="47"/>
        <v>2042-43</v>
      </c>
      <c r="Y129" s="180" t="str">
        <f t="shared" si="47"/>
        <v>2043-44</v>
      </c>
      <c r="Z129" s="180" t="str">
        <f t="shared" si="47"/>
        <v>2044-45</v>
      </c>
      <c r="AA129" s="180" t="str">
        <f t="shared" si="47"/>
        <v>2045-46</v>
      </c>
      <c r="AB129" s="180" t="str">
        <f t="shared" si="47"/>
        <v>2046-47</v>
      </c>
      <c r="AC129" s="180" t="str">
        <f t="shared" si="47"/>
        <v>2047-48</v>
      </c>
      <c r="AD129" s="180" t="str">
        <f t="shared" si="47"/>
        <v>2048-49</v>
      </c>
      <c r="AE129" s="230" t="str">
        <f t="shared" si="47"/>
        <v>2049-50</v>
      </c>
    </row>
    <row r="130" spans="1:31" x14ac:dyDescent="0.25">
      <c r="A130" s="191"/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3"/>
    </row>
    <row r="131" spans="1:31" x14ac:dyDescent="0.25">
      <c r="A131" s="191" t="s">
        <v>136</v>
      </c>
      <c r="B131" s="192">
        <f t="shared" ref="B131:AE131" si="48">+B30</f>
        <v>0</v>
      </c>
      <c r="C131" s="192">
        <f t="shared" si="48"/>
        <v>-0.26958770030587931</v>
      </c>
      <c r="D131" s="192">
        <f t="shared" si="48"/>
        <v>-2.4986864902042383</v>
      </c>
      <c r="E131" s="192">
        <f t="shared" si="48"/>
        <v>-3.0330858788458914</v>
      </c>
      <c r="F131" s="192">
        <f t="shared" si="48"/>
        <v>3.0999389757179996</v>
      </c>
      <c r="G131" s="192">
        <f t="shared" si="48"/>
        <v>64.14797060632246</v>
      </c>
      <c r="H131" s="192">
        <f t="shared" si="48"/>
        <v>-27.270356086338872</v>
      </c>
      <c r="I131" s="192">
        <f t="shared" si="48"/>
        <v>62.333448116323808</v>
      </c>
      <c r="J131" s="192">
        <f t="shared" si="48"/>
        <v>105.2851973366281</v>
      </c>
      <c r="K131" s="192">
        <f t="shared" si="48"/>
        <v>95.16357754244271</v>
      </c>
      <c r="L131" s="192">
        <f t="shared" si="48"/>
        <v>87.878409459998082</v>
      </c>
      <c r="M131" s="192">
        <f t="shared" si="48"/>
        <v>98.641205679309422</v>
      </c>
      <c r="N131" s="192">
        <f t="shared" si="48"/>
        <v>210.19107766027966</v>
      </c>
      <c r="O131" s="192">
        <f t="shared" si="48"/>
        <v>211.38315714745454</v>
      </c>
      <c r="P131" s="192">
        <f t="shared" si="48"/>
        <v>225.07949694144875</v>
      </c>
      <c r="Q131" s="192">
        <f t="shared" si="48"/>
        <v>252.12298110807541</v>
      </c>
      <c r="R131" s="192">
        <f t="shared" si="48"/>
        <v>257.44359687784885</v>
      </c>
      <c r="S131" s="192">
        <f t="shared" si="48"/>
        <v>405.41496168855957</v>
      </c>
      <c r="T131" s="192">
        <f t="shared" si="48"/>
        <v>345.69091102371175</v>
      </c>
      <c r="U131" s="192">
        <f t="shared" si="48"/>
        <v>375.09116496412207</v>
      </c>
      <c r="V131" s="192">
        <f t="shared" si="48"/>
        <v>421.15874286245946</v>
      </c>
      <c r="W131" s="192">
        <f t="shared" si="48"/>
        <v>393.2126636838247</v>
      </c>
      <c r="X131" s="192">
        <f t="shared" si="48"/>
        <v>456.10445858026719</v>
      </c>
      <c r="Y131" s="192">
        <f t="shared" si="48"/>
        <v>450.06925652888435</v>
      </c>
      <c r="Z131" s="192">
        <f t="shared" si="48"/>
        <v>427.95910066365957</v>
      </c>
      <c r="AA131" s="192">
        <f t="shared" si="48"/>
        <v>429.05430043281854</v>
      </c>
      <c r="AB131" s="192">
        <f t="shared" si="48"/>
        <v>461.96527335452652</v>
      </c>
      <c r="AC131" s="192">
        <f t="shared" si="48"/>
        <v>467.8431684261937</v>
      </c>
      <c r="AD131" s="192">
        <f t="shared" si="48"/>
        <v>528.90497259156609</v>
      </c>
      <c r="AE131" s="193">
        <f t="shared" si="48"/>
        <v>528.47590844418028</v>
      </c>
    </row>
    <row r="132" spans="1:31" x14ac:dyDescent="0.25">
      <c r="A132" s="194" t="s">
        <v>137</v>
      </c>
      <c r="B132" s="158">
        <v>0</v>
      </c>
      <c r="C132" s="158">
        <v>0</v>
      </c>
      <c r="D132" s="158">
        <v>0</v>
      </c>
      <c r="E132" s="158">
        <v>0</v>
      </c>
      <c r="F132" s="158">
        <v>0</v>
      </c>
      <c r="G132" s="158">
        <v>0</v>
      </c>
      <c r="H132" s="158">
        <v>0</v>
      </c>
      <c r="I132" s="158">
        <v>0</v>
      </c>
      <c r="J132" s="158">
        <v>0</v>
      </c>
      <c r="K132" s="158">
        <v>0</v>
      </c>
      <c r="L132" s="158">
        <v>0</v>
      </c>
      <c r="M132" s="158">
        <v>0</v>
      </c>
      <c r="N132" s="158">
        <v>0</v>
      </c>
      <c r="O132" s="158">
        <v>0</v>
      </c>
      <c r="P132" s="158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58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95">
        <f>+PV(NotSlowWACC,(40-SUM(I$110:AE$110)),AVERAGE(Y131:AC131))*-1</f>
        <v>5119.9685073382179</v>
      </c>
    </row>
    <row r="133" spans="1:31" x14ac:dyDescent="0.25">
      <c r="A133" s="185" t="s">
        <v>138</v>
      </c>
      <c r="B133" s="192">
        <f>SUM(B131:B132)</f>
        <v>0</v>
      </c>
      <c r="C133" s="192">
        <f t="shared" ref="C133:AE133" si="49">SUM(C131:C132)</f>
        <v>-0.26958770030587931</v>
      </c>
      <c r="D133" s="192">
        <f t="shared" si="49"/>
        <v>-2.4986864902042383</v>
      </c>
      <c r="E133" s="192">
        <f t="shared" si="49"/>
        <v>-3.0330858788458914</v>
      </c>
      <c r="F133" s="192">
        <f t="shared" si="49"/>
        <v>3.0999389757179996</v>
      </c>
      <c r="G133" s="192">
        <f t="shared" si="49"/>
        <v>64.14797060632246</v>
      </c>
      <c r="H133" s="192">
        <f t="shared" si="49"/>
        <v>-27.270356086338872</v>
      </c>
      <c r="I133" s="192">
        <f t="shared" si="49"/>
        <v>62.333448116323808</v>
      </c>
      <c r="J133" s="192">
        <f t="shared" si="49"/>
        <v>105.2851973366281</v>
      </c>
      <c r="K133" s="192">
        <f t="shared" si="49"/>
        <v>95.16357754244271</v>
      </c>
      <c r="L133" s="192">
        <f t="shared" si="49"/>
        <v>87.878409459998082</v>
      </c>
      <c r="M133" s="192">
        <f t="shared" si="49"/>
        <v>98.641205679309422</v>
      </c>
      <c r="N133" s="192">
        <f t="shared" si="49"/>
        <v>210.19107766027966</v>
      </c>
      <c r="O133" s="192">
        <f t="shared" si="49"/>
        <v>211.38315714745454</v>
      </c>
      <c r="P133" s="192">
        <f t="shared" si="49"/>
        <v>225.07949694144875</v>
      </c>
      <c r="Q133" s="192">
        <f t="shared" si="49"/>
        <v>252.12298110807541</v>
      </c>
      <c r="R133" s="192">
        <f t="shared" si="49"/>
        <v>257.44359687784885</v>
      </c>
      <c r="S133" s="192">
        <f t="shared" si="49"/>
        <v>405.41496168855957</v>
      </c>
      <c r="T133" s="192">
        <f t="shared" si="49"/>
        <v>345.69091102371175</v>
      </c>
      <c r="U133" s="192">
        <f t="shared" si="49"/>
        <v>375.09116496412207</v>
      </c>
      <c r="V133" s="192">
        <f t="shared" si="49"/>
        <v>421.15874286245946</v>
      </c>
      <c r="W133" s="192">
        <f t="shared" si="49"/>
        <v>393.2126636838247</v>
      </c>
      <c r="X133" s="192">
        <f t="shared" si="49"/>
        <v>456.10445858026719</v>
      </c>
      <c r="Y133" s="192">
        <f t="shared" si="49"/>
        <v>450.06925652888435</v>
      </c>
      <c r="Z133" s="192">
        <f t="shared" si="49"/>
        <v>427.95910066365957</v>
      </c>
      <c r="AA133" s="192">
        <f t="shared" si="49"/>
        <v>429.05430043281854</v>
      </c>
      <c r="AB133" s="192">
        <f t="shared" si="49"/>
        <v>461.96527335452652</v>
      </c>
      <c r="AC133" s="192">
        <f t="shared" si="49"/>
        <v>467.8431684261937</v>
      </c>
      <c r="AD133" s="192">
        <f t="shared" si="49"/>
        <v>528.90497259156609</v>
      </c>
      <c r="AE133" s="193">
        <f t="shared" si="49"/>
        <v>5648.4444157823982</v>
      </c>
    </row>
    <row r="134" spans="1:31" x14ac:dyDescent="0.25">
      <c r="A134" s="185"/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3"/>
    </row>
    <row r="135" spans="1:31" x14ac:dyDescent="0.25">
      <c r="A135" s="185" t="s">
        <v>139</v>
      </c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3"/>
    </row>
    <row r="136" spans="1:31" x14ac:dyDescent="0.25">
      <c r="A136" s="185" t="s">
        <v>140</v>
      </c>
      <c r="B136" s="192">
        <v>0</v>
      </c>
      <c r="C136" s="192">
        <v>0</v>
      </c>
      <c r="D136" s="192">
        <v>0</v>
      </c>
      <c r="E136" s="192">
        <v>0</v>
      </c>
      <c r="F136" s="192">
        <v>0</v>
      </c>
      <c r="G136" s="192">
        <v>0</v>
      </c>
      <c r="H136" s="192">
        <v>0</v>
      </c>
      <c r="I136" s="192">
        <v>0</v>
      </c>
      <c r="J136" s="192">
        <v>0</v>
      </c>
      <c r="K136" s="192">
        <v>0</v>
      </c>
      <c r="L136" s="192">
        <v>0</v>
      </c>
      <c r="M136" s="192">
        <v>0</v>
      </c>
      <c r="N136" s="192">
        <v>0</v>
      </c>
      <c r="O136" s="192">
        <v>0</v>
      </c>
      <c r="P136" s="192">
        <v>0</v>
      </c>
      <c r="Q136" s="192">
        <v>0</v>
      </c>
      <c r="R136" s="192">
        <v>0</v>
      </c>
      <c r="S136" s="192">
        <v>0</v>
      </c>
      <c r="T136" s="192">
        <v>0</v>
      </c>
      <c r="U136" s="192">
        <v>0</v>
      </c>
      <c r="V136" s="192">
        <v>0</v>
      </c>
      <c r="W136" s="192">
        <v>0</v>
      </c>
      <c r="X136" s="192">
        <v>0</v>
      </c>
      <c r="Y136" s="192">
        <v>0</v>
      </c>
      <c r="Z136" s="192">
        <v>0</v>
      </c>
      <c r="AA136" s="192">
        <v>0</v>
      </c>
      <c r="AB136" s="192">
        <v>0</v>
      </c>
      <c r="AC136" s="192">
        <v>0</v>
      </c>
      <c r="AD136" s="192">
        <v>0</v>
      </c>
      <c r="AE136" s="193">
        <f>+PV(NotSlowWACC,40-SUM(I128:AE128),AVERAGE(AA92:AE92))*-1</f>
        <v>264.81285699493606</v>
      </c>
    </row>
    <row r="137" spans="1:31" x14ac:dyDescent="0.25">
      <c r="A137" s="231" t="s">
        <v>141</v>
      </c>
      <c r="B137" s="158">
        <v>0</v>
      </c>
      <c r="C137" s="158">
        <v>0</v>
      </c>
      <c r="D137" s="158">
        <v>0</v>
      </c>
      <c r="E137" s="158">
        <v>0</v>
      </c>
      <c r="F137" s="158">
        <v>0</v>
      </c>
      <c r="G137" s="158">
        <v>0</v>
      </c>
      <c r="H137" s="158">
        <v>0</v>
      </c>
      <c r="I137" s="158">
        <v>0</v>
      </c>
      <c r="J137" s="158">
        <v>0</v>
      </c>
      <c r="K137" s="158">
        <v>0</v>
      </c>
      <c r="L137" s="158">
        <v>0</v>
      </c>
      <c r="M137" s="158">
        <v>0</v>
      </c>
      <c r="N137" s="158">
        <v>0</v>
      </c>
      <c r="O137" s="158">
        <v>0</v>
      </c>
      <c r="P137" s="158">
        <v>0</v>
      </c>
      <c r="Q137" s="158">
        <v>0</v>
      </c>
      <c r="R137" s="158">
        <v>0</v>
      </c>
      <c r="S137" s="158">
        <v>0</v>
      </c>
      <c r="T137" s="158">
        <v>0</v>
      </c>
      <c r="U137" s="158">
        <v>0</v>
      </c>
      <c r="V137" s="158">
        <v>0</v>
      </c>
      <c r="W137" s="158">
        <v>0</v>
      </c>
      <c r="X137" s="158">
        <v>0</v>
      </c>
      <c r="Y137" s="158">
        <v>0</v>
      </c>
      <c r="Z137" s="158">
        <v>0</v>
      </c>
      <c r="AA137" s="158">
        <v>0</v>
      </c>
      <c r="AB137" s="158">
        <v>0</v>
      </c>
      <c r="AC137" s="158">
        <v>0</v>
      </c>
      <c r="AD137" s="158">
        <v>0</v>
      </c>
      <c r="AE137" s="195">
        <f>+PV(NotSlowWACC,40-SUM(I128:AE128),AVERAGE(AA93:AE93))*-1</f>
        <v>51.830892522940481</v>
      </c>
    </row>
    <row r="138" spans="1:31" x14ac:dyDescent="0.25">
      <c r="A138" s="185" t="s">
        <v>144</v>
      </c>
      <c r="B138" s="232">
        <f>+SUM(B136:B137)</f>
        <v>0</v>
      </c>
      <c r="C138" s="232">
        <f t="shared" ref="C138" si="50">+SUM(C136:C137)</f>
        <v>0</v>
      </c>
      <c r="D138" s="232">
        <f t="shared" ref="D138:AE138" si="51">+SUM(D136:D137)</f>
        <v>0</v>
      </c>
      <c r="E138" s="232">
        <f t="shared" si="51"/>
        <v>0</v>
      </c>
      <c r="F138" s="232">
        <f t="shared" si="51"/>
        <v>0</v>
      </c>
      <c r="G138" s="232">
        <f t="shared" si="51"/>
        <v>0</v>
      </c>
      <c r="H138" s="232">
        <f t="shared" si="51"/>
        <v>0</v>
      </c>
      <c r="I138" s="232">
        <f t="shared" si="51"/>
        <v>0</v>
      </c>
      <c r="J138" s="232">
        <f t="shared" si="51"/>
        <v>0</v>
      </c>
      <c r="K138" s="232">
        <f t="shared" si="51"/>
        <v>0</v>
      </c>
      <c r="L138" s="232">
        <f t="shared" si="51"/>
        <v>0</v>
      </c>
      <c r="M138" s="232">
        <f t="shared" si="51"/>
        <v>0</v>
      </c>
      <c r="N138" s="232">
        <f t="shared" si="51"/>
        <v>0</v>
      </c>
      <c r="O138" s="232">
        <f t="shared" si="51"/>
        <v>0</v>
      </c>
      <c r="P138" s="232">
        <f t="shared" si="51"/>
        <v>0</v>
      </c>
      <c r="Q138" s="232">
        <f t="shared" si="51"/>
        <v>0</v>
      </c>
      <c r="R138" s="232">
        <f t="shared" si="51"/>
        <v>0</v>
      </c>
      <c r="S138" s="232">
        <f t="shared" si="51"/>
        <v>0</v>
      </c>
      <c r="T138" s="232">
        <f t="shared" si="51"/>
        <v>0</v>
      </c>
      <c r="U138" s="232">
        <f t="shared" si="51"/>
        <v>0</v>
      </c>
      <c r="V138" s="232">
        <f t="shared" si="51"/>
        <v>0</v>
      </c>
      <c r="W138" s="232">
        <f t="shared" si="51"/>
        <v>0</v>
      </c>
      <c r="X138" s="232">
        <f t="shared" si="51"/>
        <v>0</v>
      </c>
      <c r="Y138" s="232">
        <f t="shared" si="51"/>
        <v>0</v>
      </c>
      <c r="Z138" s="232">
        <f t="shared" si="51"/>
        <v>0</v>
      </c>
      <c r="AA138" s="232">
        <f t="shared" si="51"/>
        <v>0</v>
      </c>
      <c r="AB138" s="232">
        <f t="shared" si="51"/>
        <v>0</v>
      </c>
      <c r="AC138" s="232">
        <f t="shared" si="51"/>
        <v>0</v>
      </c>
      <c r="AD138" s="232">
        <f t="shared" si="51"/>
        <v>0</v>
      </c>
      <c r="AE138" s="233">
        <f t="shared" si="51"/>
        <v>316.64374951787653</v>
      </c>
    </row>
    <row r="139" spans="1:31" x14ac:dyDescent="0.25">
      <c r="A139" s="185"/>
      <c r="B139" s="184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3"/>
    </row>
    <row r="140" spans="1:31" x14ac:dyDescent="0.25">
      <c r="A140" s="185" t="s">
        <v>118</v>
      </c>
      <c r="B140" s="196">
        <f>XNPV(NotSlowWACC,B133:AE133,$B$10:$AE$10)</f>
        <v>4161.7178850477158</v>
      </c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63"/>
    </row>
    <row r="141" spans="1:31" ht="15.75" thickBot="1" x14ac:dyDescent="0.3">
      <c r="A141" s="234" t="s">
        <v>117</v>
      </c>
      <c r="B141" s="186">
        <f>B99+XNPV(NotSlowWACC,$B$138:$AE$138,$B$10:$AE$10)</f>
        <v>1662.8448641775155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63"/>
    </row>
    <row r="142" spans="1:31" ht="15.75" thickTop="1" x14ac:dyDescent="0.25">
      <c r="A142" s="164" t="s">
        <v>119</v>
      </c>
      <c r="B142" s="196">
        <f>+B140-B141</f>
        <v>2498.8730208702</v>
      </c>
      <c r="C142" s="184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63"/>
    </row>
    <row r="143" spans="1:31" ht="15.75" thickBot="1" x14ac:dyDescent="0.3">
      <c r="A143" s="164"/>
      <c r="B143" s="196"/>
      <c r="C143" s="184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63"/>
    </row>
    <row r="144" spans="1:31" ht="15.75" thickTop="1" x14ac:dyDescent="0.25">
      <c r="A144" s="223" t="str">
        <f>+A36</f>
        <v>Option 2:  750 MW in 2027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224"/>
    </row>
    <row r="145" spans="1:31" x14ac:dyDescent="0.25">
      <c r="A145" s="225" t="str">
        <f>+A37</f>
        <v xml:space="preserve">Scenario: </v>
      </c>
      <c r="B145" s="74" t="str">
        <f>+B37</f>
        <v>High DER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226"/>
    </row>
    <row r="146" spans="1:31" x14ac:dyDescent="0.25">
      <c r="A146" s="185"/>
      <c r="B146" s="189">
        <v>1</v>
      </c>
      <c r="C146" s="189">
        <v>1</v>
      </c>
      <c r="D146" s="189">
        <v>1</v>
      </c>
      <c r="E146" s="189">
        <v>1</v>
      </c>
      <c r="F146" s="189">
        <v>1</v>
      </c>
      <c r="G146" s="189">
        <v>1</v>
      </c>
      <c r="H146" s="189">
        <v>1</v>
      </c>
      <c r="I146" s="189">
        <v>1</v>
      </c>
      <c r="J146" s="189">
        <v>1</v>
      </c>
      <c r="K146" s="189">
        <v>1</v>
      </c>
      <c r="L146" s="189">
        <v>1</v>
      </c>
      <c r="M146" s="189">
        <v>1</v>
      </c>
      <c r="N146" s="189">
        <v>1</v>
      </c>
      <c r="O146" s="189">
        <v>1</v>
      </c>
      <c r="P146" s="189">
        <v>1</v>
      </c>
      <c r="Q146" s="189">
        <v>1</v>
      </c>
      <c r="R146" s="189">
        <v>1</v>
      </c>
      <c r="S146" s="189">
        <v>1</v>
      </c>
      <c r="T146" s="189">
        <v>1</v>
      </c>
      <c r="U146" s="189">
        <v>1</v>
      </c>
      <c r="V146" s="189">
        <v>1</v>
      </c>
      <c r="W146" s="189">
        <v>1</v>
      </c>
      <c r="X146" s="189">
        <v>1</v>
      </c>
      <c r="Y146" s="189">
        <v>1</v>
      </c>
      <c r="Z146" s="189">
        <v>1</v>
      </c>
      <c r="AA146" s="189">
        <v>1</v>
      </c>
      <c r="AB146" s="189">
        <v>1</v>
      </c>
      <c r="AC146" s="189">
        <v>1</v>
      </c>
      <c r="AD146" s="189">
        <v>1</v>
      </c>
      <c r="AE146" s="190">
        <v>1</v>
      </c>
    </row>
    <row r="147" spans="1:31" x14ac:dyDescent="0.25">
      <c r="A147" s="229" t="s">
        <v>39</v>
      </c>
      <c r="B147" s="180" t="str">
        <f>+B129</f>
        <v>2020-21</v>
      </c>
      <c r="C147" s="180" t="str">
        <f t="shared" ref="C147:AE147" si="52">+C129</f>
        <v>2021-22</v>
      </c>
      <c r="D147" s="180" t="str">
        <f t="shared" si="52"/>
        <v>2022-23</v>
      </c>
      <c r="E147" s="180" t="str">
        <f t="shared" si="52"/>
        <v>2023-24</v>
      </c>
      <c r="F147" s="180" t="str">
        <f t="shared" si="52"/>
        <v>2024-25</v>
      </c>
      <c r="G147" s="180" t="str">
        <f t="shared" si="52"/>
        <v>2025-26</v>
      </c>
      <c r="H147" s="180" t="str">
        <f t="shared" si="52"/>
        <v>2026-27</v>
      </c>
      <c r="I147" s="180" t="str">
        <f t="shared" si="52"/>
        <v>2027-28</v>
      </c>
      <c r="J147" s="180" t="str">
        <f t="shared" si="52"/>
        <v>2028-29</v>
      </c>
      <c r="K147" s="180" t="str">
        <f t="shared" si="52"/>
        <v>2029-30</v>
      </c>
      <c r="L147" s="180" t="str">
        <f t="shared" si="52"/>
        <v>2030-31</v>
      </c>
      <c r="M147" s="180" t="str">
        <f t="shared" si="52"/>
        <v>2031-32</v>
      </c>
      <c r="N147" s="180" t="str">
        <f t="shared" si="52"/>
        <v>2032-33</v>
      </c>
      <c r="O147" s="180" t="str">
        <f t="shared" si="52"/>
        <v>2033-34</v>
      </c>
      <c r="P147" s="180" t="str">
        <f t="shared" si="52"/>
        <v>2034-35</v>
      </c>
      <c r="Q147" s="180" t="str">
        <f t="shared" si="52"/>
        <v>2035-36</v>
      </c>
      <c r="R147" s="180" t="str">
        <f t="shared" si="52"/>
        <v>2036-37</v>
      </c>
      <c r="S147" s="180" t="str">
        <f t="shared" si="52"/>
        <v>2037-38</v>
      </c>
      <c r="T147" s="180" t="str">
        <f t="shared" si="52"/>
        <v>2038-39</v>
      </c>
      <c r="U147" s="180" t="str">
        <f t="shared" si="52"/>
        <v>2039-40</v>
      </c>
      <c r="V147" s="180" t="str">
        <f t="shared" si="52"/>
        <v>2040-41</v>
      </c>
      <c r="W147" s="180" t="str">
        <f t="shared" si="52"/>
        <v>2041-42</v>
      </c>
      <c r="X147" s="180" t="str">
        <f t="shared" si="52"/>
        <v>2042-43</v>
      </c>
      <c r="Y147" s="180" t="str">
        <f t="shared" si="52"/>
        <v>2043-44</v>
      </c>
      <c r="Z147" s="180" t="str">
        <f t="shared" si="52"/>
        <v>2044-45</v>
      </c>
      <c r="AA147" s="180" t="str">
        <f t="shared" si="52"/>
        <v>2045-46</v>
      </c>
      <c r="AB147" s="180" t="str">
        <f t="shared" si="52"/>
        <v>2046-47</v>
      </c>
      <c r="AC147" s="180" t="str">
        <f t="shared" si="52"/>
        <v>2047-48</v>
      </c>
      <c r="AD147" s="180" t="str">
        <f t="shared" si="52"/>
        <v>2048-49</v>
      </c>
      <c r="AE147" s="230" t="str">
        <f t="shared" si="52"/>
        <v>2049-50</v>
      </c>
    </row>
    <row r="148" spans="1:31" x14ac:dyDescent="0.25">
      <c r="A148" s="191"/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  <c r="AA148" s="192"/>
      <c r="AB148" s="192"/>
      <c r="AC148" s="192"/>
      <c r="AD148" s="192"/>
      <c r="AE148" s="193"/>
    </row>
    <row r="149" spans="1:31" x14ac:dyDescent="0.25">
      <c r="A149" s="191" t="s">
        <v>136</v>
      </c>
      <c r="B149" s="192">
        <f t="shared" ref="B149:AE149" si="53">+B45</f>
        <v>0</v>
      </c>
      <c r="C149" s="192">
        <f t="shared" si="53"/>
        <v>-0.44142861021341606</v>
      </c>
      <c r="D149" s="192">
        <f t="shared" si="53"/>
        <v>-2.1167970175918622</v>
      </c>
      <c r="E149" s="192">
        <f t="shared" si="53"/>
        <v>-3.738027495811131</v>
      </c>
      <c r="F149" s="192">
        <f t="shared" si="53"/>
        <v>7.3273275138974148</v>
      </c>
      <c r="G149" s="192">
        <f t="shared" si="53"/>
        <v>112.46613456569968</v>
      </c>
      <c r="H149" s="192">
        <f t="shared" si="53"/>
        <v>-38.655727020294144</v>
      </c>
      <c r="I149" s="192">
        <f t="shared" si="53"/>
        <v>61.369842933649842</v>
      </c>
      <c r="J149" s="192">
        <f t="shared" si="53"/>
        <v>111.11620390122437</v>
      </c>
      <c r="K149" s="192">
        <f t="shared" si="53"/>
        <v>96.004387952360915</v>
      </c>
      <c r="L149" s="192">
        <f t="shared" si="53"/>
        <v>93.394409933183766</v>
      </c>
      <c r="M149" s="192">
        <f t="shared" si="53"/>
        <v>114.55263112301694</v>
      </c>
      <c r="N149" s="192">
        <f t="shared" si="53"/>
        <v>193.56725387218148</v>
      </c>
      <c r="O149" s="192">
        <f t="shared" si="53"/>
        <v>203.91343011124246</v>
      </c>
      <c r="P149" s="192">
        <f t="shared" si="53"/>
        <v>215.04614446436165</v>
      </c>
      <c r="Q149" s="192">
        <f t="shared" si="53"/>
        <v>248.23644874207321</v>
      </c>
      <c r="R149" s="192">
        <f t="shared" si="53"/>
        <v>269.46534872207587</v>
      </c>
      <c r="S149" s="192">
        <f t="shared" si="53"/>
        <v>375.37295922439267</v>
      </c>
      <c r="T149" s="192">
        <f t="shared" si="53"/>
        <v>340.02130949688433</v>
      </c>
      <c r="U149" s="192">
        <f t="shared" si="53"/>
        <v>360.65780304606199</v>
      </c>
      <c r="V149" s="192">
        <f t="shared" si="53"/>
        <v>406.60611008626569</v>
      </c>
      <c r="W149" s="192">
        <f t="shared" si="53"/>
        <v>407.79195909488328</v>
      </c>
      <c r="X149" s="192">
        <f t="shared" si="53"/>
        <v>445.20532398495578</v>
      </c>
      <c r="Y149" s="192">
        <f t="shared" si="53"/>
        <v>443.66770783656153</v>
      </c>
      <c r="Z149" s="192">
        <f t="shared" si="53"/>
        <v>432.05811022782802</v>
      </c>
      <c r="AA149" s="192">
        <f t="shared" si="53"/>
        <v>424.69395699786429</v>
      </c>
      <c r="AB149" s="192">
        <f t="shared" si="53"/>
        <v>473.92391537583973</v>
      </c>
      <c r="AC149" s="192">
        <f t="shared" si="53"/>
        <v>473.22961176282303</v>
      </c>
      <c r="AD149" s="192">
        <f t="shared" si="53"/>
        <v>512.02263723855992</v>
      </c>
      <c r="AE149" s="193">
        <f t="shared" si="53"/>
        <v>501.12383046441619</v>
      </c>
    </row>
    <row r="150" spans="1:31" x14ac:dyDescent="0.25">
      <c r="A150" s="194" t="s">
        <v>137</v>
      </c>
      <c r="B150" s="158">
        <v>0</v>
      </c>
      <c r="C150" s="158">
        <v>0</v>
      </c>
      <c r="D150" s="158">
        <v>0</v>
      </c>
      <c r="E150" s="158">
        <v>0</v>
      </c>
      <c r="F150" s="158">
        <v>0</v>
      </c>
      <c r="G150" s="158">
        <v>0</v>
      </c>
      <c r="H150" s="158">
        <v>0</v>
      </c>
      <c r="I150" s="158">
        <v>0</v>
      </c>
      <c r="J150" s="158">
        <v>0</v>
      </c>
      <c r="K150" s="158">
        <v>0</v>
      </c>
      <c r="L150" s="158">
        <v>0</v>
      </c>
      <c r="M150" s="158">
        <v>0</v>
      </c>
      <c r="N150" s="158">
        <v>0</v>
      </c>
      <c r="O150" s="158">
        <v>0</v>
      </c>
      <c r="P150" s="158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58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95">
        <f>+PV(NotSlowWACC,(40-SUM(I$110:AE$110)),AVERAGE(Y149:AC149))*-1</f>
        <v>5144.418755234984</v>
      </c>
    </row>
    <row r="151" spans="1:31" x14ac:dyDescent="0.25">
      <c r="A151" s="185" t="s">
        <v>138</v>
      </c>
      <c r="B151" s="192">
        <f>SUM(B149:B150)</f>
        <v>0</v>
      </c>
      <c r="C151" s="192">
        <f t="shared" ref="C151:AE151" si="54">SUM(C149:C150)</f>
        <v>-0.44142861021341606</v>
      </c>
      <c r="D151" s="192">
        <f t="shared" si="54"/>
        <v>-2.1167970175918622</v>
      </c>
      <c r="E151" s="192">
        <f t="shared" si="54"/>
        <v>-3.738027495811131</v>
      </c>
      <c r="F151" s="192">
        <f t="shared" si="54"/>
        <v>7.3273275138974148</v>
      </c>
      <c r="G151" s="192">
        <f t="shared" si="54"/>
        <v>112.46613456569968</v>
      </c>
      <c r="H151" s="192">
        <f t="shared" si="54"/>
        <v>-38.655727020294144</v>
      </c>
      <c r="I151" s="192">
        <f t="shared" si="54"/>
        <v>61.369842933649842</v>
      </c>
      <c r="J151" s="192">
        <f t="shared" si="54"/>
        <v>111.11620390122437</v>
      </c>
      <c r="K151" s="192">
        <f t="shared" si="54"/>
        <v>96.004387952360915</v>
      </c>
      <c r="L151" s="192">
        <f t="shared" si="54"/>
        <v>93.394409933183766</v>
      </c>
      <c r="M151" s="192">
        <f t="shared" si="54"/>
        <v>114.55263112301694</v>
      </c>
      <c r="N151" s="192">
        <f t="shared" si="54"/>
        <v>193.56725387218148</v>
      </c>
      <c r="O151" s="192">
        <f t="shared" si="54"/>
        <v>203.91343011124246</v>
      </c>
      <c r="P151" s="192">
        <f t="shared" si="54"/>
        <v>215.04614446436165</v>
      </c>
      <c r="Q151" s="192">
        <f t="shared" si="54"/>
        <v>248.23644874207321</v>
      </c>
      <c r="R151" s="192">
        <f t="shared" si="54"/>
        <v>269.46534872207587</v>
      </c>
      <c r="S151" s="192">
        <f t="shared" si="54"/>
        <v>375.37295922439267</v>
      </c>
      <c r="T151" s="192">
        <f t="shared" si="54"/>
        <v>340.02130949688433</v>
      </c>
      <c r="U151" s="192">
        <f t="shared" si="54"/>
        <v>360.65780304606199</v>
      </c>
      <c r="V151" s="192">
        <f t="shared" si="54"/>
        <v>406.60611008626569</v>
      </c>
      <c r="W151" s="192">
        <f t="shared" si="54"/>
        <v>407.79195909488328</v>
      </c>
      <c r="X151" s="192">
        <f t="shared" si="54"/>
        <v>445.20532398495578</v>
      </c>
      <c r="Y151" s="192">
        <f t="shared" si="54"/>
        <v>443.66770783656153</v>
      </c>
      <c r="Z151" s="192">
        <f t="shared" si="54"/>
        <v>432.05811022782802</v>
      </c>
      <c r="AA151" s="192">
        <f t="shared" si="54"/>
        <v>424.69395699786429</v>
      </c>
      <c r="AB151" s="192">
        <f t="shared" si="54"/>
        <v>473.92391537583973</v>
      </c>
      <c r="AC151" s="192">
        <f t="shared" si="54"/>
        <v>473.22961176282303</v>
      </c>
      <c r="AD151" s="192">
        <f t="shared" si="54"/>
        <v>512.02263723855992</v>
      </c>
      <c r="AE151" s="193">
        <f t="shared" si="54"/>
        <v>5645.5425856994007</v>
      </c>
    </row>
    <row r="152" spans="1:31" x14ac:dyDescent="0.25">
      <c r="A152" s="185"/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  <c r="R152" s="192"/>
      <c r="S152" s="192"/>
      <c r="T152" s="192"/>
      <c r="U152" s="192"/>
      <c r="V152" s="192"/>
      <c r="W152" s="192"/>
      <c r="X152" s="192"/>
      <c r="Y152" s="192"/>
      <c r="Z152" s="192"/>
      <c r="AA152" s="192"/>
      <c r="AB152" s="192"/>
      <c r="AC152" s="192"/>
      <c r="AD152" s="192"/>
      <c r="AE152" s="193"/>
    </row>
    <row r="153" spans="1:31" x14ac:dyDescent="0.25">
      <c r="A153" s="185" t="s">
        <v>118</v>
      </c>
      <c r="B153" s="196">
        <f>XNPV(NotSlowWACC,B151:AE151,$B$10:$AE$10)</f>
        <v>4167.7996723013503</v>
      </c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63"/>
    </row>
    <row r="154" spans="1:31" ht="15.75" thickBot="1" x14ac:dyDescent="0.3">
      <c r="A154" s="234" t="s">
        <v>117</v>
      </c>
      <c r="B154" s="186">
        <f>+B141</f>
        <v>1662.8448641775155</v>
      </c>
      <c r="C154" s="184"/>
      <c r="D154" s="184"/>
      <c r="E154" s="184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84"/>
      <c r="AC154" s="184"/>
      <c r="AD154" s="184"/>
      <c r="AE154" s="163"/>
    </row>
    <row r="155" spans="1:31" ht="15.75" thickTop="1" x14ac:dyDescent="0.25">
      <c r="A155" s="164" t="s">
        <v>119</v>
      </c>
      <c r="B155" s="196">
        <f>+B153-B154</f>
        <v>2504.9548081238345</v>
      </c>
      <c r="C155" s="184"/>
      <c r="D155" s="184"/>
      <c r="E155" s="184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63"/>
    </row>
    <row r="156" spans="1:31" ht="15.75" thickBot="1" x14ac:dyDescent="0.3">
      <c r="A156" s="185"/>
      <c r="B156" s="184"/>
      <c r="C156" s="184"/>
      <c r="D156" s="184"/>
      <c r="E156" s="184"/>
      <c r="F156" s="184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63"/>
    </row>
    <row r="157" spans="1:31" ht="15.75" thickTop="1" x14ac:dyDescent="0.25">
      <c r="A157" s="223" t="str">
        <f>+A51</f>
        <v>Option 2:  750 MW in 2027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224"/>
    </row>
    <row r="158" spans="1:31" x14ac:dyDescent="0.25">
      <c r="A158" s="225" t="str">
        <f>+A52</f>
        <v xml:space="preserve">Scenario: </v>
      </c>
      <c r="B158" s="74" t="str">
        <f>+B52</f>
        <v xml:space="preserve">Fast Change 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226"/>
    </row>
    <row r="159" spans="1:31" x14ac:dyDescent="0.25">
      <c r="A159" s="185"/>
      <c r="B159" s="189">
        <v>1</v>
      </c>
      <c r="C159" s="189">
        <v>1</v>
      </c>
      <c r="D159" s="189">
        <v>1</v>
      </c>
      <c r="E159" s="189">
        <v>1</v>
      </c>
      <c r="F159" s="189">
        <v>1</v>
      </c>
      <c r="G159" s="189">
        <v>1</v>
      </c>
      <c r="H159" s="189">
        <v>1</v>
      </c>
      <c r="I159" s="189">
        <v>1</v>
      </c>
      <c r="J159" s="189">
        <v>1</v>
      </c>
      <c r="K159" s="189">
        <v>1</v>
      </c>
      <c r="L159" s="189">
        <v>1</v>
      </c>
      <c r="M159" s="189">
        <v>1</v>
      </c>
      <c r="N159" s="189">
        <v>1</v>
      </c>
      <c r="O159" s="189">
        <v>1</v>
      </c>
      <c r="P159" s="189">
        <v>1</v>
      </c>
      <c r="Q159" s="189">
        <v>1</v>
      </c>
      <c r="R159" s="189">
        <v>1</v>
      </c>
      <c r="S159" s="189">
        <v>1</v>
      </c>
      <c r="T159" s="189">
        <v>1</v>
      </c>
      <c r="U159" s="189">
        <v>1</v>
      </c>
      <c r="V159" s="189">
        <v>1</v>
      </c>
      <c r="W159" s="189">
        <v>1</v>
      </c>
      <c r="X159" s="189">
        <v>1</v>
      </c>
      <c r="Y159" s="189">
        <v>1</v>
      </c>
      <c r="Z159" s="189">
        <v>1</v>
      </c>
      <c r="AA159" s="189">
        <v>1</v>
      </c>
      <c r="AB159" s="189">
        <v>1</v>
      </c>
      <c r="AC159" s="189">
        <v>1</v>
      </c>
      <c r="AD159" s="189">
        <v>1</v>
      </c>
      <c r="AE159" s="190">
        <v>1</v>
      </c>
    </row>
    <row r="160" spans="1:31" x14ac:dyDescent="0.25">
      <c r="A160" s="229" t="s">
        <v>39</v>
      </c>
      <c r="B160" s="180" t="str">
        <f>+B147</f>
        <v>2020-21</v>
      </c>
      <c r="C160" s="180" t="str">
        <f t="shared" ref="C160:AE160" si="55">+C147</f>
        <v>2021-22</v>
      </c>
      <c r="D160" s="180" t="str">
        <f t="shared" si="55"/>
        <v>2022-23</v>
      </c>
      <c r="E160" s="180" t="str">
        <f t="shared" si="55"/>
        <v>2023-24</v>
      </c>
      <c r="F160" s="180" t="str">
        <f t="shared" si="55"/>
        <v>2024-25</v>
      </c>
      <c r="G160" s="180" t="str">
        <f t="shared" si="55"/>
        <v>2025-26</v>
      </c>
      <c r="H160" s="180" t="str">
        <f t="shared" si="55"/>
        <v>2026-27</v>
      </c>
      <c r="I160" s="180" t="str">
        <f t="shared" si="55"/>
        <v>2027-28</v>
      </c>
      <c r="J160" s="180" t="str">
        <f t="shared" si="55"/>
        <v>2028-29</v>
      </c>
      <c r="K160" s="180" t="str">
        <f t="shared" si="55"/>
        <v>2029-30</v>
      </c>
      <c r="L160" s="180" t="str">
        <f t="shared" si="55"/>
        <v>2030-31</v>
      </c>
      <c r="M160" s="180" t="str">
        <f t="shared" si="55"/>
        <v>2031-32</v>
      </c>
      <c r="N160" s="180" t="str">
        <f t="shared" si="55"/>
        <v>2032-33</v>
      </c>
      <c r="O160" s="180" t="str">
        <f t="shared" si="55"/>
        <v>2033-34</v>
      </c>
      <c r="P160" s="180" t="str">
        <f t="shared" si="55"/>
        <v>2034-35</v>
      </c>
      <c r="Q160" s="180" t="str">
        <f t="shared" si="55"/>
        <v>2035-36</v>
      </c>
      <c r="R160" s="180" t="str">
        <f t="shared" si="55"/>
        <v>2036-37</v>
      </c>
      <c r="S160" s="180" t="str">
        <f t="shared" si="55"/>
        <v>2037-38</v>
      </c>
      <c r="T160" s="180" t="str">
        <f t="shared" si="55"/>
        <v>2038-39</v>
      </c>
      <c r="U160" s="180" t="str">
        <f t="shared" si="55"/>
        <v>2039-40</v>
      </c>
      <c r="V160" s="180" t="str">
        <f t="shared" si="55"/>
        <v>2040-41</v>
      </c>
      <c r="W160" s="180" t="str">
        <f t="shared" si="55"/>
        <v>2041-42</v>
      </c>
      <c r="X160" s="180" t="str">
        <f t="shared" si="55"/>
        <v>2042-43</v>
      </c>
      <c r="Y160" s="180" t="str">
        <f t="shared" si="55"/>
        <v>2043-44</v>
      </c>
      <c r="Z160" s="180" t="str">
        <f t="shared" si="55"/>
        <v>2044-45</v>
      </c>
      <c r="AA160" s="180" t="str">
        <f t="shared" si="55"/>
        <v>2045-46</v>
      </c>
      <c r="AB160" s="180" t="str">
        <f t="shared" si="55"/>
        <v>2046-47</v>
      </c>
      <c r="AC160" s="180" t="str">
        <f t="shared" si="55"/>
        <v>2047-48</v>
      </c>
      <c r="AD160" s="180" t="str">
        <f t="shared" si="55"/>
        <v>2048-49</v>
      </c>
      <c r="AE160" s="230" t="str">
        <f t="shared" si="55"/>
        <v>2049-50</v>
      </c>
    </row>
    <row r="161" spans="1:31" x14ac:dyDescent="0.25">
      <c r="A161" s="191"/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2"/>
      <c r="T161" s="192"/>
      <c r="U161" s="192"/>
      <c r="V161" s="192"/>
      <c r="W161" s="192"/>
      <c r="X161" s="192"/>
      <c r="Y161" s="192"/>
      <c r="Z161" s="192"/>
      <c r="AA161" s="192"/>
      <c r="AB161" s="192"/>
      <c r="AC161" s="192"/>
      <c r="AD161" s="192"/>
      <c r="AE161" s="193"/>
    </row>
    <row r="162" spans="1:31" x14ac:dyDescent="0.25">
      <c r="A162" s="191" t="s">
        <v>136</v>
      </c>
      <c r="B162" s="192">
        <f t="shared" ref="B162:AE162" si="56">+B60</f>
        <v>0</v>
      </c>
      <c r="C162" s="192">
        <f t="shared" si="56"/>
        <v>1.1246548180248608</v>
      </c>
      <c r="D162" s="192">
        <f t="shared" si="56"/>
        <v>-6.0070734505489873E-2</v>
      </c>
      <c r="E162" s="192">
        <f t="shared" si="56"/>
        <v>-2.4942658150747832</v>
      </c>
      <c r="F162" s="192">
        <f t="shared" si="56"/>
        <v>-3.2857233581829597</v>
      </c>
      <c r="G162" s="192">
        <f t="shared" si="56"/>
        <v>91.732267735067921</v>
      </c>
      <c r="H162" s="192">
        <f t="shared" si="56"/>
        <v>-44.000583464613264</v>
      </c>
      <c r="I162" s="192">
        <f t="shared" si="56"/>
        <v>80.737376377840064</v>
      </c>
      <c r="J162" s="192">
        <f t="shared" si="56"/>
        <v>125.59555113871161</v>
      </c>
      <c r="K162" s="192">
        <f t="shared" si="56"/>
        <v>95.933933502432652</v>
      </c>
      <c r="L162" s="192">
        <f t="shared" si="56"/>
        <v>96.44594005867846</v>
      </c>
      <c r="M162" s="192">
        <f t="shared" si="56"/>
        <v>114.28518576999005</v>
      </c>
      <c r="N162" s="192">
        <f t="shared" si="56"/>
        <v>216.16457320990378</v>
      </c>
      <c r="O162" s="192">
        <f t="shared" si="56"/>
        <v>221.64002196386963</v>
      </c>
      <c r="P162" s="192">
        <f t="shared" si="56"/>
        <v>246.7184902139532</v>
      </c>
      <c r="Q162" s="192">
        <f t="shared" si="56"/>
        <v>294.97575458155978</v>
      </c>
      <c r="R162" s="192">
        <f t="shared" si="56"/>
        <v>292.14269854953665</v>
      </c>
      <c r="S162" s="192">
        <f t="shared" si="56"/>
        <v>416.68863347171208</v>
      </c>
      <c r="T162" s="192">
        <f t="shared" si="56"/>
        <v>377.04014045318814</v>
      </c>
      <c r="U162" s="192">
        <f t="shared" si="56"/>
        <v>365.97322315445325</v>
      </c>
      <c r="V162" s="192">
        <f t="shared" si="56"/>
        <v>413.10669249009953</v>
      </c>
      <c r="W162" s="192">
        <f t="shared" si="56"/>
        <v>405.06518450056006</v>
      </c>
      <c r="X162" s="192">
        <f t="shared" si="56"/>
        <v>463.41361517303949</v>
      </c>
      <c r="Y162" s="192">
        <f t="shared" si="56"/>
        <v>476.80715617239588</v>
      </c>
      <c r="Z162" s="192">
        <f t="shared" si="56"/>
        <v>453.10521520525384</v>
      </c>
      <c r="AA162" s="192">
        <f t="shared" si="56"/>
        <v>447.47607652144433</v>
      </c>
      <c r="AB162" s="192">
        <f t="shared" si="56"/>
        <v>471.48812046548795</v>
      </c>
      <c r="AC162" s="192">
        <f t="shared" si="56"/>
        <v>483.20261045838998</v>
      </c>
      <c r="AD162" s="192">
        <f t="shared" si="56"/>
        <v>536.10416896643801</v>
      </c>
      <c r="AE162" s="193">
        <f t="shared" si="56"/>
        <v>545.86109726630036</v>
      </c>
    </row>
    <row r="163" spans="1:31" x14ac:dyDescent="0.25">
      <c r="A163" s="194" t="s">
        <v>137</v>
      </c>
      <c r="B163" s="158">
        <v>0</v>
      </c>
      <c r="C163" s="158">
        <v>0</v>
      </c>
      <c r="D163" s="158">
        <v>0</v>
      </c>
      <c r="E163" s="158">
        <v>0</v>
      </c>
      <c r="F163" s="158">
        <v>0</v>
      </c>
      <c r="G163" s="158">
        <v>0</v>
      </c>
      <c r="H163" s="158">
        <v>0</v>
      </c>
      <c r="I163" s="158">
        <v>0</v>
      </c>
      <c r="J163" s="158">
        <v>0</v>
      </c>
      <c r="K163" s="158">
        <v>0</v>
      </c>
      <c r="L163" s="158">
        <v>0</v>
      </c>
      <c r="M163" s="158">
        <v>0</v>
      </c>
      <c r="N163" s="158">
        <v>0</v>
      </c>
      <c r="O163" s="158">
        <v>0</v>
      </c>
      <c r="P163" s="158">
        <v>0</v>
      </c>
      <c r="Q163" s="158">
        <v>0</v>
      </c>
      <c r="R163" s="158">
        <v>0</v>
      </c>
      <c r="S163" s="158">
        <v>0</v>
      </c>
      <c r="T163" s="158">
        <v>0</v>
      </c>
      <c r="U163" s="158">
        <v>0</v>
      </c>
      <c r="V163" s="158">
        <v>0</v>
      </c>
      <c r="W163" s="158">
        <v>0</v>
      </c>
      <c r="X163" s="158">
        <v>0</v>
      </c>
      <c r="Y163" s="158">
        <v>0</v>
      </c>
      <c r="Z163" s="158">
        <v>0</v>
      </c>
      <c r="AA163" s="158">
        <v>0</v>
      </c>
      <c r="AB163" s="158">
        <v>0</v>
      </c>
      <c r="AC163" s="158">
        <v>0</v>
      </c>
      <c r="AD163" s="158">
        <v>0</v>
      </c>
      <c r="AE163" s="195">
        <f>+PV(NotSlowWACC,(40-SUM(I$110:AE$110)),AVERAGE(Y162:AC162))*-1</f>
        <v>5337.8423095174476</v>
      </c>
    </row>
    <row r="164" spans="1:31" x14ac:dyDescent="0.25">
      <c r="A164" s="185" t="s">
        <v>138</v>
      </c>
      <c r="B164" s="192">
        <f>SUM(B162:B163)</f>
        <v>0</v>
      </c>
      <c r="C164" s="192">
        <f t="shared" ref="C164:AE164" si="57">SUM(C162:C163)</f>
        <v>1.1246548180248608</v>
      </c>
      <c r="D164" s="192">
        <f t="shared" si="57"/>
        <v>-6.0070734505489873E-2</v>
      </c>
      <c r="E164" s="192">
        <f t="shared" si="57"/>
        <v>-2.4942658150747832</v>
      </c>
      <c r="F164" s="192">
        <f t="shared" si="57"/>
        <v>-3.2857233581829597</v>
      </c>
      <c r="G164" s="192">
        <f t="shared" si="57"/>
        <v>91.732267735067921</v>
      </c>
      <c r="H164" s="192">
        <f t="shared" si="57"/>
        <v>-44.000583464613264</v>
      </c>
      <c r="I164" s="192">
        <f t="shared" si="57"/>
        <v>80.737376377840064</v>
      </c>
      <c r="J164" s="192">
        <f t="shared" si="57"/>
        <v>125.59555113871161</v>
      </c>
      <c r="K164" s="192">
        <f t="shared" si="57"/>
        <v>95.933933502432652</v>
      </c>
      <c r="L164" s="192">
        <f t="shared" si="57"/>
        <v>96.44594005867846</v>
      </c>
      <c r="M164" s="192">
        <f t="shared" si="57"/>
        <v>114.28518576999005</v>
      </c>
      <c r="N164" s="192">
        <f t="shared" si="57"/>
        <v>216.16457320990378</v>
      </c>
      <c r="O164" s="192">
        <f t="shared" si="57"/>
        <v>221.64002196386963</v>
      </c>
      <c r="P164" s="192">
        <f t="shared" si="57"/>
        <v>246.7184902139532</v>
      </c>
      <c r="Q164" s="192">
        <f t="shared" si="57"/>
        <v>294.97575458155978</v>
      </c>
      <c r="R164" s="192">
        <f t="shared" si="57"/>
        <v>292.14269854953665</v>
      </c>
      <c r="S164" s="192">
        <f t="shared" si="57"/>
        <v>416.68863347171208</v>
      </c>
      <c r="T164" s="192">
        <f t="shared" si="57"/>
        <v>377.04014045318814</v>
      </c>
      <c r="U164" s="192">
        <f t="shared" si="57"/>
        <v>365.97322315445325</v>
      </c>
      <c r="V164" s="192">
        <f t="shared" si="57"/>
        <v>413.10669249009953</v>
      </c>
      <c r="W164" s="192">
        <f t="shared" si="57"/>
        <v>405.06518450056006</v>
      </c>
      <c r="X164" s="192">
        <f t="shared" si="57"/>
        <v>463.41361517303949</v>
      </c>
      <c r="Y164" s="192">
        <f t="shared" si="57"/>
        <v>476.80715617239588</v>
      </c>
      <c r="Z164" s="192">
        <f t="shared" si="57"/>
        <v>453.10521520525384</v>
      </c>
      <c r="AA164" s="192">
        <f t="shared" si="57"/>
        <v>447.47607652144433</v>
      </c>
      <c r="AB164" s="192">
        <f t="shared" si="57"/>
        <v>471.48812046548795</v>
      </c>
      <c r="AC164" s="192">
        <f t="shared" si="57"/>
        <v>483.20261045838998</v>
      </c>
      <c r="AD164" s="192">
        <f t="shared" si="57"/>
        <v>536.10416896643801</v>
      </c>
      <c r="AE164" s="193">
        <f t="shared" si="57"/>
        <v>5883.7034067837476</v>
      </c>
    </row>
    <row r="165" spans="1:31" x14ac:dyDescent="0.25">
      <c r="A165" s="185"/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  <c r="AA165" s="192"/>
      <c r="AB165" s="192"/>
      <c r="AC165" s="192"/>
      <c r="AD165" s="192"/>
      <c r="AE165" s="193"/>
    </row>
    <row r="166" spans="1:31" x14ac:dyDescent="0.25">
      <c r="A166" s="185" t="s">
        <v>118</v>
      </c>
      <c r="B166" s="196">
        <f>XNPV(NotSlowWACC,B164:AE164,$B$10:$AE$10)</f>
        <v>4380.8878468470657</v>
      </c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  <c r="AD166" s="184"/>
      <c r="AE166" s="163"/>
    </row>
    <row r="167" spans="1:31" ht="15.75" thickBot="1" x14ac:dyDescent="0.3">
      <c r="A167" s="234" t="s">
        <v>117</v>
      </c>
      <c r="B167" s="186">
        <f>+B154</f>
        <v>1662.8448641775155</v>
      </c>
      <c r="C167" s="184"/>
      <c r="D167" s="184"/>
      <c r="E167" s="184"/>
      <c r="F167" s="184"/>
      <c r="G167" s="184"/>
      <c r="H167" s="184"/>
      <c r="I167" s="184"/>
      <c r="J167" s="184"/>
      <c r="K167" s="184"/>
      <c r="L167" s="184"/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  <c r="Z167" s="184"/>
      <c r="AA167" s="184"/>
      <c r="AB167" s="184"/>
      <c r="AC167" s="184"/>
      <c r="AD167" s="184"/>
      <c r="AE167" s="163"/>
    </row>
    <row r="168" spans="1:31" ht="15.75" thickTop="1" x14ac:dyDescent="0.25">
      <c r="A168" s="164" t="s">
        <v>119</v>
      </c>
      <c r="B168" s="196">
        <f>+B166-B167</f>
        <v>2718.0429826695499</v>
      </c>
      <c r="C168" s="184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  <c r="Z168" s="184"/>
      <c r="AA168" s="184"/>
      <c r="AB168" s="184"/>
      <c r="AC168" s="184"/>
      <c r="AD168" s="184"/>
      <c r="AE168" s="163"/>
    </row>
    <row r="169" spans="1:31" ht="15.75" thickBot="1" x14ac:dyDescent="0.3">
      <c r="A169" s="185"/>
      <c r="B169" s="184"/>
      <c r="C169" s="184"/>
      <c r="D169" s="184"/>
      <c r="E169" s="184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184"/>
      <c r="AB169" s="184"/>
      <c r="AC169" s="184"/>
      <c r="AD169" s="184"/>
      <c r="AE169" s="163"/>
    </row>
    <row r="170" spans="1:31" ht="15.75" thickTop="1" x14ac:dyDescent="0.25">
      <c r="A170" s="223" t="str">
        <f>+A66</f>
        <v>Option 2:  750 MW in 2027</v>
      </c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224"/>
    </row>
    <row r="171" spans="1:31" x14ac:dyDescent="0.25">
      <c r="A171" s="225" t="str">
        <f>+A67</f>
        <v xml:space="preserve">Scenario: </v>
      </c>
      <c r="B171" s="74" t="str">
        <f>+B67</f>
        <v>Step Change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226"/>
    </row>
    <row r="172" spans="1:31" x14ac:dyDescent="0.25">
      <c r="A172" s="185"/>
      <c r="B172" s="189">
        <v>1</v>
      </c>
      <c r="C172" s="189">
        <v>1</v>
      </c>
      <c r="D172" s="189">
        <v>1</v>
      </c>
      <c r="E172" s="189">
        <v>1</v>
      </c>
      <c r="F172" s="189">
        <v>1</v>
      </c>
      <c r="G172" s="189">
        <v>1</v>
      </c>
      <c r="H172" s="189">
        <v>1</v>
      </c>
      <c r="I172" s="189">
        <v>1</v>
      </c>
      <c r="J172" s="189">
        <v>1</v>
      </c>
      <c r="K172" s="189">
        <v>1</v>
      </c>
      <c r="L172" s="189">
        <v>1</v>
      </c>
      <c r="M172" s="189">
        <v>1</v>
      </c>
      <c r="N172" s="189">
        <v>1</v>
      </c>
      <c r="O172" s="189">
        <v>1</v>
      </c>
      <c r="P172" s="189">
        <v>1</v>
      </c>
      <c r="Q172" s="189">
        <v>1</v>
      </c>
      <c r="R172" s="189">
        <v>1</v>
      </c>
      <c r="S172" s="189">
        <v>1</v>
      </c>
      <c r="T172" s="189">
        <v>1</v>
      </c>
      <c r="U172" s="189">
        <v>1</v>
      </c>
      <c r="V172" s="189">
        <v>1</v>
      </c>
      <c r="W172" s="189">
        <v>1</v>
      </c>
      <c r="X172" s="189">
        <v>1</v>
      </c>
      <c r="Y172" s="189">
        <v>1</v>
      </c>
      <c r="Z172" s="189">
        <v>1</v>
      </c>
      <c r="AA172" s="189">
        <v>1</v>
      </c>
      <c r="AB172" s="189">
        <v>1</v>
      </c>
      <c r="AC172" s="189">
        <v>1</v>
      </c>
      <c r="AD172" s="189">
        <v>1</v>
      </c>
      <c r="AE172" s="190">
        <v>1</v>
      </c>
    </row>
    <row r="173" spans="1:31" x14ac:dyDescent="0.25">
      <c r="A173" s="229" t="s">
        <v>39</v>
      </c>
      <c r="B173" s="180" t="str">
        <f>+B160</f>
        <v>2020-21</v>
      </c>
      <c r="C173" s="180" t="str">
        <f t="shared" ref="C173:AE173" si="58">+C160</f>
        <v>2021-22</v>
      </c>
      <c r="D173" s="180" t="str">
        <f t="shared" si="58"/>
        <v>2022-23</v>
      </c>
      <c r="E173" s="180" t="str">
        <f t="shared" si="58"/>
        <v>2023-24</v>
      </c>
      <c r="F173" s="180" t="str">
        <f t="shared" si="58"/>
        <v>2024-25</v>
      </c>
      <c r="G173" s="180" t="str">
        <f t="shared" si="58"/>
        <v>2025-26</v>
      </c>
      <c r="H173" s="180" t="str">
        <f t="shared" si="58"/>
        <v>2026-27</v>
      </c>
      <c r="I173" s="180" t="str">
        <f t="shared" si="58"/>
        <v>2027-28</v>
      </c>
      <c r="J173" s="180" t="str">
        <f t="shared" si="58"/>
        <v>2028-29</v>
      </c>
      <c r="K173" s="180" t="str">
        <f t="shared" si="58"/>
        <v>2029-30</v>
      </c>
      <c r="L173" s="180" t="str">
        <f t="shared" si="58"/>
        <v>2030-31</v>
      </c>
      <c r="M173" s="180" t="str">
        <f t="shared" si="58"/>
        <v>2031-32</v>
      </c>
      <c r="N173" s="180" t="str">
        <f t="shared" si="58"/>
        <v>2032-33</v>
      </c>
      <c r="O173" s="180" t="str">
        <f t="shared" si="58"/>
        <v>2033-34</v>
      </c>
      <c r="P173" s="180" t="str">
        <f t="shared" si="58"/>
        <v>2034-35</v>
      </c>
      <c r="Q173" s="180" t="str">
        <f t="shared" si="58"/>
        <v>2035-36</v>
      </c>
      <c r="R173" s="180" t="str">
        <f t="shared" si="58"/>
        <v>2036-37</v>
      </c>
      <c r="S173" s="180" t="str">
        <f t="shared" si="58"/>
        <v>2037-38</v>
      </c>
      <c r="T173" s="180" t="str">
        <f t="shared" si="58"/>
        <v>2038-39</v>
      </c>
      <c r="U173" s="180" t="str">
        <f t="shared" si="58"/>
        <v>2039-40</v>
      </c>
      <c r="V173" s="180" t="str">
        <f t="shared" si="58"/>
        <v>2040-41</v>
      </c>
      <c r="W173" s="180" t="str">
        <f t="shared" si="58"/>
        <v>2041-42</v>
      </c>
      <c r="X173" s="180" t="str">
        <f t="shared" si="58"/>
        <v>2042-43</v>
      </c>
      <c r="Y173" s="180" t="str">
        <f t="shared" si="58"/>
        <v>2043-44</v>
      </c>
      <c r="Z173" s="180" t="str">
        <f t="shared" si="58"/>
        <v>2044-45</v>
      </c>
      <c r="AA173" s="180" t="str">
        <f t="shared" si="58"/>
        <v>2045-46</v>
      </c>
      <c r="AB173" s="180" t="str">
        <f t="shared" si="58"/>
        <v>2046-47</v>
      </c>
      <c r="AC173" s="180" t="str">
        <f t="shared" si="58"/>
        <v>2047-48</v>
      </c>
      <c r="AD173" s="180" t="str">
        <f t="shared" si="58"/>
        <v>2048-49</v>
      </c>
      <c r="AE173" s="230" t="str">
        <f t="shared" si="58"/>
        <v>2049-50</v>
      </c>
    </row>
    <row r="174" spans="1:31" x14ac:dyDescent="0.25">
      <c r="A174" s="191"/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3"/>
    </row>
    <row r="175" spans="1:31" x14ac:dyDescent="0.25">
      <c r="A175" s="191" t="s">
        <v>136</v>
      </c>
      <c r="B175" s="192">
        <f t="shared" ref="B175:AE175" si="59">+B75</f>
        <v>0</v>
      </c>
      <c r="C175" s="192">
        <f t="shared" si="59"/>
        <v>23.482331078982842</v>
      </c>
      <c r="D175" s="192">
        <f t="shared" si="59"/>
        <v>26.111254809940455</v>
      </c>
      <c r="E175" s="192">
        <f t="shared" si="59"/>
        <v>39.913900930707534</v>
      </c>
      <c r="F175" s="192">
        <f t="shared" si="59"/>
        <v>57.905295232790991</v>
      </c>
      <c r="G175" s="192">
        <f t="shared" si="59"/>
        <v>76.678938535072021</v>
      </c>
      <c r="H175" s="192">
        <f t="shared" si="59"/>
        <v>12.972677661290028</v>
      </c>
      <c r="I175" s="192">
        <f t="shared" si="59"/>
        <v>181.02208207731906</v>
      </c>
      <c r="J175" s="192">
        <f t="shared" si="59"/>
        <v>170.02895250269404</v>
      </c>
      <c r="K175" s="192">
        <f t="shared" si="59"/>
        <v>146.76054922203193</v>
      </c>
      <c r="L175" s="192">
        <f t="shared" si="59"/>
        <v>176.79399516300793</v>
      </c>
      <c r="M175" s="192">
        <f t="shared" si="59"/>
        <v>252.36805435498744</v>
      </c>
      <c r="N175" s="192">
        <f t="shared" si="59"/>
        <v>276.27251415216762</v>
      </c>
      <c r="O175" s="192">
        <f t="shared" si="59"/>
        <v>313.76469088292373</v>
      </c>
      <c r="P175" s="192">
        <f t="shared" si="59"/>
        <v>378.41803180623469</v>
      </c>
      <c r="Q175" s="192">
        <f t="shared" si="59"/>
        <v>416.10123132915294</v>
      </c>
      <c r="R175" s="192">
        <f t="shared" si="59"/>
        <v>432.77378925787934</v>
      </c>
      <c r="S175" s="192">
        <f t="shared" si="59"/>
        <v>473.14147062408978</v>
      </c>
      <c r="T175" s="192">
        <f t="shared" si="59"/>
        <v>502.79691464187385</v>
      </c>
      <c r="U175" s="192">
        <f t="shared" si="59"/>
        <v>490.38716712514235</v>
      </c>
      <c r="V175" s="192">
        <f t="shared" si="59"/>
        <v>539.00367030439349</v>
      </c>
      <c r="W175" s="192">
        <f t="shared" si="59"/>
        <v>495.01579404778022</v>
      </c>
      <c r="X175" s="192">
        <f t="shared" si="59"/>
        <v>667.91218628601598</v>
      </c>
      <c r="Y175" s="192">
        <f t="shared" si="59"/>
        <v>703.42451443323318</v>
      </c>
      <c r="Z175" s="192">
        <f t="shared" si="59"/>
        <v>685.26010598426183</v>
      </c>
      <c r="AA175" s="192">
        <f t="shared" si="59"/>
        <v>666.79833463682041</v>
      </c>
      <c r="AB175" s="192">
        <f t="shared" si="59"/>
        <v>713.31451481035947</v>
      </c>
      <c r="AC175" s="192">
        <f t="shared" si="59"/>
        <v>642.60847088686126</v>
      </c>
      <c r="AD175" s="192">
        <f t="shared" si="59"/>
        <v>578.51777332259007</v>
      </c>
      <c r="AE175" s="193">
        <f t="shared" si="59"/>
        <v>520.94086444853929</v>
      </c>
    </row>
    <row r="176" spans="1:31" x14ac:dyDescent="0.25">
      <c r="A176" s="194" t="s">
        <v>137</v>
      </c>
      <c r="B176" s="158">
        <v>0</v>
      </c>
      <c r="C176" s="158">
        <v>0</v>
      </c>
      <c r="D176" s="158">
        <v>0</v>
      </c>
      <c r="E176" s="158">
        <v>0</v>
      </c>
      <c r="F176" s="158">
        <v>0</v>
      </c>
      <c r="G176" s="158">
        <v>0</v>
      </c>
      <c r="H176" s="158">
        <v>0</v>
      </c>
      <c r="I176" s="158">
        <v>0</v>
      </c>
      <c r="J176" s="158">
        <v>0</v>
      </c>
      <c r="K176" s="158">
        <v>0</v>
      </c>
      <c r="L176" s="158">
        <v>0</v>
      </c>
      <c r="M176" s="158">
        <v>0</v>
      </c>
      <c r="N176" s="158">
        <v>0</v>
      </c>
      <c r="O176" s="158">
        <v>0</v>
      </c>
      <c r="P176" s="158">
        <v>0</v>
      </c>
      <c r="Q176" s="158">
        <v>0</v>
      </c>
      <c r="R176" s="158">
        <v>0</v>
      </c>
      <c r="S176" s="158">
        <v>0</v>
      </c>
      <c r="T176" s="158">
        <v>0</v>
      </c>
      <c r="U176" s="158">
        <v>0</v>
      </c>
      <c r="V176" s="158">
        <v>0</v>
      </c>
      <c r="W176" s="158">
        <v>0</v>
      </c>
      <c r="X176" s="158">
        <v>0</v>
      </c>
      <c r="Y176" s="158">
        <v>0</v>
      </c>
      <c r="Z176" s="158">
        <v>0</v>
      </c>
      <c r="AA176" s="158">
        <v>0</v>
      </c>
      <c r="AB176" s="158">
        <v>0</v>
      </c>
      <c r="AC176" s="158">
        <v>0</v>
      </c>
      <c r="AD176" s="158">
        <v>0</v>
      </c>
      <c r="AE176" s="195">
        <f>+PV(NotSlowWACC,(40-SUM(I$110:AE$110)),AVERAGE(Y175:AC175))*-1</f>
        <v>7808.2884710086455</v>
      </c>
    </row>
    <row r="177" spans="1:31" x14ac:dyDescent="0.25">
      <c r="A177" s="185" t="s">
        <v>138</v>
      </c>
      <c r="B177" s="192">
        <f>SUM(B175:B176)</f>
        <v>0</v>
      </c>
      <c r="C177" s="192">
        <f t="shared" ref="C177:AE177" si="60">SUM(C175:C176)</f>
        <v>23.482331078982842</v>
      </c>
      <c r="D177" s="192">
        <f t="shared" si="60"/>
        <v>26.111254809940455</v>
      </c>
      <c r="E177" s="192">
        <f t="shared" si="60"/>
        <v>39.913900930707534</v>
      </c>
      <c r="F177" s="192">
        <f t="shared" si="60"/>
        <v>57.905295232790991</v>
      </c>
      <c r="G177" s="192">
        <f t="shared" si="60"/>
        <v>76.678938535072021</v>
      </c>
      <c r="H177" s="192">
        <f t="shared" si="60"/>
        <v>12.972677661290028</v>
      </c>
      <c r="I177" s="192">
        <f t="shared" si="60"/>
        <v>181.02208207731906</v>
      </c>
      <c r="J177" s="192">
        <f t="shared" si="60"/>
        <v>170.02895250269404</v>
      </c>
      <c r="K177" s="192">
        <f t="shared" si="60"/>
        <v>146.76054922203193</v>
      </c>
      <c r="L177" s="192">
        <f t="shared" si="60"/>
        <v>176.79399516300793</v>
      </c>
      <c r="M177" s="192">
        <f t="shared" si="60"/>
        <v>252.36805435498744</v>
      </c>
      <c r="N177" s="192">
        <f t="shared" si="60"/>
        <v>276.27251415216762</v>
      </c>
      <c r="O177" s="192">
        <f t="shared" si="60"/>
        <v>313.76469088292373</v>
      </c>
      <c r="P177" s="192">
        <f t="shared" si="60"/>
        <v>378.41803180623469</v>
      </c>
      <c r="Q177" s="192">
        <f t="shared" si="60"/>
        <v>416.10123132915294</v>
      </c>
      <c r="R177" s="192">
        <f t="shared" si="60"/>
        <v>432.77378925787934</v>
      </c>
      <c r="S177" s="192">
        <f t="shared" si="60"/>
        <v>473.14147062408978</v>
      </c>
      <c r="T177" s="192">
        <f t="shared" si="60"/>
        <v>502.79691464187385</v>
      </c>
      <c r="U177" s="192">
        <f t="shared" si="60"/>
        <v>490.38716712514235</v>
      </c>
      <c r="V177" s="192">
        <f t="shared" si="60"/>
        <v>539.00367030439349</v>
      </c>
      <c r="W177" s="192">
        <f t="shared" si="60"/>
        <v>495.01579404778022</v>
      </c>
      <c r="X177" s="192">
        <f t="shared" si="60"/>
        <v>667.91218628601598</v>
      </c>
      <c r="Y177" s="192">
        <f t="shared" si="60"/>
        <v>703.42451443323318</v>
      </c>
      <c r="Z177" s="192">
        <f t="shared" si="60"/>
        <v>685.26010598426183</v>
      </c>
      <c r="AA177" s="192">
        <f t="shared" si="60"/>
        <v>666.79833463682041</v>
      </c>
      <c r="AB177" s="192">
        <f t="shared" si="60"/>
        <v>713.31451481035947</v>
      </c>
      <c r="AC177" s="192">
        <f t="shared" si="60"/>
        <v>642.60847088686126</v>
      </c>
      <c r="AD177" s="192">
        <f t="shared" si="60"/>
        <v>578.51777332259007</v>
      </c>
      <c r="AE177" s="193">
        <f t="shared" si="60"/>
        <v>8329.2293354571848</v>
      </c>
    </row>
    <row r="178" spans="1:31" x14ac:dyDescent="0.25">
      <c r="A178" s="185"/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3"/>
    </row>
    <row r="179" spans="1:31" x14ac:dyDescent="0.25">
      <c r="A179" s="185" t="s">
        <v>118</v>
      </c>
      <c r="B179" s="196">
        <f>XNPV(NotSlowWACC,B177:AE177,$B$10:$AE$10)</f>
        <v>6353.8561833790864</v>
      </c>
      <c r="C179" s="184"/>
      <c r="D179" s="184"/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  <c r="AD179" s="184"/>
      <c r="AE179" s="163"/>
    </row>
    <row r="180" spans="1:31" ht="15.75" thickBot="1" x14ac:dyDescent="0.3">
      <c r="A180" s="234" t="s">
        <v>117</v>
      </c>
      <c r="B180" s="186">
        <f>+B167</f>
        <v>1662.8448641775155</v>
      </c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  <c r="AD180" s="184"/>
      <c r="AE180" s="163"/>
    </row>
    <row r="181" spans="1:31" ht="16.5" thickTop="1" thickBot="1" x14ac:dyDescent="0.3">
      <c r="A181" s="235" t="s">
        <v>119</v>
      </c>
      <c r="B181" s="236">
        <f>+B179-B180</f>
        <v>4691.0113192015706</v>
      </c>
      <c r="C181" s="18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  <c r="Z181" s="183"/>
      <c r="AA181" s="183"/>
      <c r="AB181" s="183"/>
      <c r="AC181" s="183"/>
      <c r="AD181" s="183"/>
      <c r="AE181" s="202"/>
    </row>
    <row r="182" spans="1:3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8"/>
  <sheetViews>
    <sheetView workbookViewId="0"/>
  </sheetViews>
  <sheetFormatPr defaultColWidth="0" defaultRowHeight="15" zeroHeight="1" x14ac:dyDescent="0.25"/>
  <cols>
    <col min="1" max="1" width="30.85546875" style="182" customWidth="1"/>
    <col min="2" max="31" width="12.7109375" style="182" customWidth="1"/>
    <col min="32" max="32" width="4.140625" style="182" customWidth="1"/>
    <col min="33" max="16384" width="4.140625" style="182" hidden="1"/>
  </cols>
  <sheetData>
    <row r="1" spans="1:31" ht="21" x14ac:dyDescent="0.35">
      <c r="A1" s="105" t="s">
        <v>168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x14ac:dyDescent="0.25">
      <c r="A2" s="91" t="str">
        <f>+Overview!B8</f>
        <v>Option 3:  600 MW in 2027 and 600 MW in 2029</v>
      </c>
      <c r="B2" s="184"/>
    </row>
    <row r="3" spans="1:31" x14ac:dyDescent="0.25">
      <c r="A3" s="182" t="s">
        <v>37</v>
      </c>
      <c r="B3" s="92">
        <f>+Overview!C13</f>
        <v>4.8000000000000001E-2</v>
      </c>
      <c r="C3" s="182" t="s">
        <v>105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x14ac:dyDescent="0.25">
      <c r="A4"/>
      <c r="B4" s="92">
        <f>+Overview!C14</f>
        <v>3.7999999999999999E-2</v>
      </c>
      <c r="C4" s="182" t="s">
        <v>106</v>
      </c>
      <c r="H4" s="94"/>
    </row>
    <row r="5" spans="1:31" ht="15.75" thickBot="1" x14ac:dyDescent="0.3">
      <c r="A5" s="155" t="s">
        <v>112</v>
      </c>
    </row>
    <row r="6" spans="1:31" ht="15.75" thickTop="1" x14ac:dyDescent="0.25">
      <c r="A6" s="71" t="str">
        <f>+A2</f>
        <v>Option 3:  600 MW in 2027 and 600 MW in 2029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x14ac:dyDescent="0.25">
      <c r="A7" s="73" t="s">
        <v>72</v>
      </c>
      <c r="B7" s="74" t="str">
        <f>+Overview!D6</f>
        <v xml:space="preserve">Slow Change 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1:31" x14ac:dyDescent="0.25">
      <c r="A8" s="2" t="s">
        <v>34</v>
      </c>
      <c r="B8" s="1">
        <v>0</v>
      </c>
      <c r="C8" s="1">
        <f>+B8+1</f>
        <v>1</v>
      </c>
      <c r="D8" s="1">
        <f t="shared" ref="D8:AE8" si="0">+C8+1</f>
        <v>2</v>
      </c>
      <c r="E8" s="1">
        <f t="shared" si="0"/>
        <v>3</v>
      </c>
      <c r="F8" s="1">
        <f t="shared" si="0"/>
        <v>4</v>
      </c>
      <c r="G8" s="1">
        <f t="shared" si="0"/>
        <v>5</v>
      </c>
      <c r="H8" s="8">
        <f t="shared" si="0"/>
        <v>6</v>
      </c>
      <c r="I8" s="1">
        <f t="shared" si="0"/>
        <v>7</v>
      </c>
      <c r="J8" s="1">
        <f t="shared" si="0"/>
        <v>8</v>
      </c>
      <c r="K8" s="1">
        <f t="shared" si="0"/>
        <v>9</v>
      </c>
      <c r="L8" s="1">
        <f t="shared" si="0"/>
        <v>10</v>
      </c>
      <c r="M8" s="1">
        <f t="shared" si="0"/>
        <v>11</v>
      </c>
      <c r="N8" s="1">
        <f t="shared" si="0"/>
        <v>12</v>
      </c>
      <c r="O8" s="1">
        <f t="shared" si="0"/>
        <v>13</v>
      </c>
      <c r="P8" s="1">
        <f t="shared" si="0"/>
        <v>14</v>
      </c>
      <c r="Q8" s="1">
        <f t="shared" si="0"/>
        <v>15</v>
      </c>
      <c r="R8" s="1">
        <f t="shared" si="0"/>
        <v>16</v>
      </c>
      <c r="S8" s="1">
        <f t="shared" si="0"/>
        <v>17</v>
      </c>
      <c r="T8" s="1">
        <f t="shared" si="0"/>
        <v>18</v>
      </c>
      <c r="U8" s="1">
        <f t="shared" si="0"/>
        <v>19</v>
      </c>
      <c r="V8" s="1">
        <f t="shared" si="0"/>
        <v>20</v>
      </c>
      <c r="W8" s="1">
        <f t="shared" si="0"/>
        <v>21</v>
      </c>
      <c r="X8" s="1">
        <f t="shared" si="0"/>
        <v>22</v>
      </c>
      <c r="Y8" s="1">
        <f t="shared" si="0"/>
        <v>23</v>
      </c>
      <c r="Z8" s="1">
        <f t="shared" si="0"/>
        <v>24</v>
      </c>
      <c r="AA8" s="1">
        <f t="shared" si="0"/>
        <v>25</v>
      </c>
      <c r="AB8" s="1">
        <f t="shared" si="0"/>
        <v>26</v>
      </c>
      <c r="AC8" s="1">
        <f t="shared" si="0"/>
        <v>27</v>
      </c>
      <c r="AD8" s="1">
        <f t="shared" si="0"/>
        <v>28</v>
      </c>
      <c r="AE8" s="1">
        <f t="shared" si="0"/>
        <v>29</v>
      </c>
    </row>
    <row r="9" spans="1:31" x14ac:dyDescent="0.25">
      <c r="A9" t="s">
        <v>35</v>
      </c>
      <c r="B9" s="4">
        <v>1</v>
      </c>
      <c r="C9" s="4">
        <f t="shared" ref="C9:AE9" si="1">1/((1+SlowWACC)^((C10-$B$10)/365))</f>
        <v>0.96339113680154143</v>
      </c>
      <c r="D9" s="4">
        <f t="shared" si="1"/>
        <v>0.9281224824677663</v>
      </c>
      <c r="E9" s="4">
        <f t="shared" si="1"/>
        <v>0.89414497347569</v>
      </c>
      <c r="F9" s="4">
        <f t="shared" si="1"/>
        <v>0.86132332774791709</v>
      </c>
      <c r="G9" s="4">
        <f t="shared" si="1"/>
        <v>0.82979125987275248</v>
      </c>
      <c r="H9" s="4">
        <f t="shared" si="1"/>
        <v>0.79941354515679419</v>
      </c>
      <c r="I9" s="4">
        <f t="shared" si="1"/>
        <v>0.77014792404315435</v>
      </c>
      <c r="J9" s="4">
        <f t="shared" si="1"/>
        <v>0.74187787492274582</v>
      </c>
      <c r="K9" s="4">
        <f t="shared" si="1"/>
        <v>0.71471856928973576</v>
      </c>
      <c r="L9" s="4">
        <f t="shared" si="1"/>
        <v>0.68855353496120986</v>
      </c>
      <c r="M9" s="4">
        <f t="shared" si="1"/>
        <v>0.66334637279499975</v>
      </c>
      <c r="N9" s="4">
        <f t="shared" si="1"/>
        <v>0.63899672001101238</v>
      </c>
      <c r="O9" s="4">
        <f t="shared" si="1"/>
        <v>0.61560377650386555</v>
      </c>
      <c r="P9" s="4">
        <f t="shared" si="1"/>
        <v>0.59306722206538098</v>
      </c>
      <c r="Q9" s="4">
        <f t="shared" si="1"/>
        <v>0.57135570526529955</v>
      </c>
      <c r="R9" s="4">
        <f t="shared" si="1"/>
        <v>0.55038278129988927</v>
      </c>
      <c r="S9" s="4">
        <f t="shared" si="1"/>
        <v>0.53023389335249438</v>
      </c>
      <c r="T9" s="4">
        <f t="shared" si="1"/>
        <v>0.51082263328756683</v>
      </c>
      <c r="U9" s="4">
        <f t="shared" si="1"/>
        <v>0.49212199738686585</v>
      </c>
      <c r="V9" s="4">
        <f t="shared" si="1"/>
        <v>0.47405752872437462</v>
      </c>
      <c r="W9" s="4">
        <f t="shared" si="1"/>
        <v>0.45670282150710462</v>
      </c>
      <c r="X9" s="4">
        <f t="shared" si="1"/>
        <v>0.43998345039220105</v>
      </c>
      <c r="Y9" s="4">
        <f t="shared" si="1"/>
        <v>0.42387615644720705</v>
      </c>
      <c r="Z9" s="4">
        <f t="shared" si="1"/>
        <v>0.40831680818483218</v>
      </c>
      <c r="AA9" s="4">
        <f t="shared" si="1"/>
        <v>0.39336879401236235</v>
      </c>
      <c r="AB9" s="4">
        <f t="shared" si="1"/>
        <v>0.37896800964582117</v>
      </c>
      <c r="AC9" s="4">
        <f t="shared" si="1"/>
        <v>0.3650944216241051</v>
      </c>
      <c r="AD9" s="4">
        <f t="shared" si="1"/>
        <v>0.35169279200116749</v>
      </c>
      <c r="AE9" s="4">
        <f t="shared" si="1"/>
        <v>0.33881771869091287</v>
      </c>
    </row>
    <row r="10" spans="1:31" x14ac:dyDescent="0.25">
      <c r="A10" s="5" t="s">
        <v>70</v>
      </c>
      <c r="B10" s="6">
        <v>44013</v>
      </c>
      <c r="C10" s="6">
        <f>EDATE(B10,12)</f>
        <v>44378</v>
      </c>
      <c r="D10" s="6">
        <f t="shared" ref="D10:AE10" si="2">EDATE(C10,12)</f>
        <v>44743</v>
      </c>
      <c r="E10" s="6">
        <f t="shared" si="2"/>
        <v>45108</v>
      </c>
      <c r="F10" s="6">
        <f t="shared" si="2"/>
        <v>45474</v>
      </c>
      <c r="G10" s="6">
        <f t="shared" si="2"/>
        <v>45839</v>
      </c>
      <c r="H10" s="6">
        <f t="shared" si="2"/>
        <v>46204</v>
      </c>
      <c r="I10" s="6">
        <f t="shared" si="2"/>
        <v>46569</v>
      </c>
      <c r="J10" s="6">
        <f t="shared" si="2"/>
        <v>46935</v>
      </c>
      <c r="K10" s="6">
        <f t="shared" si="2"/>
        <v>47300</v>
      </c>
      <c r="L10" s="6">
        <f t="shared" si="2"/>
        <v>47665</v>
      </c>
      <c r="M10" s="6">
        <f t="shared" si="2"/>
        <v>48030</v>
      </c>
      <c r="N10" s="6">
        <f t="shared" si="2"/>
        <v>48396</v>
      </c>
      <c r="O10" s="6">
        <f t="shared" si="2"/>
        <v>48761</v>
      </c>
      <c r="P10" s="6">
        <f t="shared" si="2"/>
        <v>49126</v>
      </c>
      <c r="Q10" s="6">
        <f t="shared" si="2"/>
        <v>49491</v>
      </c>
      <c r="R10" s="6">
        <f t="shared" si="2"/>
        <v>49857</v>
      </c>
      <c r="S10" s="6">
        <f t="shared" si="2"/>
        <v>50222</v>
      </c>
      <c r="T10" s="6">
        <f t="shared" si="2"/>
        <v>50587</v>
      </c>
      <c r="U10" s="6">
        <f t="shared" si="2"/>
        <v>50952</v>
      </c>
      <c r="V10" s="6">
        <f t="shared" si="2"/>
        <v>51318</v>
      </c>
      <c r="W10" s="6">
        <f t="shared" si="2"/>
        <v>51683</v>
      </c>
      <c r="X10" s="6">
        <f t="shared" si="2"/>
        <v>52048</v>
      </c>
      <c r="Y10" s="6">
        <f t="shared" si="2"/>
        <v>52413</v>
      </c>
      <c r="Z10" s="6">
        <f t="shared" si="2"/>
        <v>52779</v>
      </c>
      <c r="AA10" s="6">
        <f t="shared" si="2"/>
        <v>53144</v>
      </c>
      <c r="AB10" s="6">
        <f t="shared" si="2"/>
        <v>53509</v>
      </c>
      <c r="AC10" s="6">
        <f t="shared" si="2"/>
        <v>53874</v>
      </c>
      <c r="AD10" s="6">
        <f t="shared" si="2"/>
        <v>54240</v>
      </c>
      <c r="AE10" s="6">
        <f t="shared" si="2"/>
        <v>54605</v>
      </c>
    </row>
    <row r="11" spans="1:31" x14ac:dyDescent="0.25">
      <c r="A11" s="179" t="s">
        <v>39</v>
      </c>
      <c r="B11" s="180" t="s">
        <v>2</v>
      </c>
      <c r="C11" s="180" t="s">
        <v>3</v>
      </c>
      <c r="D11" s="180" t="s">
        <v>4</v>
      </c>
      <c r="E11" s="180" t="s">
        <v>5</v>
      </c>
      <c r="F11" s="180" t="s">
        <v>6</v>
      </c>
      <c r="G11" s="180" t="s">
        <v>7</v>
      </c>
      <c r="H11" s="180" t="s">
        <v>8</v>
      </c>
      <c r="I11" s="180" t="s">
        <v>9</v>
      </c>
      <c r="J11" s="180" t="s">
        <v>10</v>
      </c>
      <c r="K11" s="180" t="s">
        <v>11</v>
      </c>
      <c r="L11" s="180" t="s">
        <v>12</v>
      </c>
      <c r="M11" s="180" t="s">
        <v>13</v>
      </c>
      <c r="N11" s="180" t="s">
        <v>14</v>
      </c>
      <c r="O11" s="180" t="s">
        <v>15</v>
      </c>
      <c r="P11" s="180" t="s">
        <v>16</v>
      </c>
      <c r="Q11" s="180" t="s">
        <v>17</v>
      </c>
      <c r="R11" s="180" t="s">
        <v>18</v>
      </c>
      <c r="S11" s="180" t="s">
        <v>19</v>
      </c>
      <c r="T11" s="180" t="s">
        <v>20</v>
      </c>
      <c r="U11" s="180" t="s">
        <v>21</v>
      </c>
      <c r="V11" s="180" t="s">
        <v>22</v>
      </c>
      <c r="W11" s="180" t="s">
        <v>23</v>
      </c>
      <c r="X11" s="180" t="s">
        <v>24</v>
      </c>
      <c r="Y11" s="180" t="s">
        <v>25</v>
      </c>
      <c r="Z11" s="180" t="s">
        <v>26</v>
      </c>
      <c r="AA11" s="180" t="s">
        <v>27</v>
      </c>
      <c r="AB11" s="180" t="s">
        <v>28</v>
      </c>
      <c r="AC11" s="180" t="s">
        <v>29</v>
      </c>
      <c r="AD11" s="180" t="s">
        <v>30</v>
      </c>
      <c r="AE11" s="180" t="s">
        <v>31</v>
      </c>
    </row>
    <row r="12" spans="1:31" x14ac:dyDescent="0.25">
      <c r="A12" s="52" t="s">
        <v>111</v>
      </c>
      <c r="B12" s="77">
        <v>0</v>
      </c>
      <c r="C12" s="77">
        <v>-1.0344949798187886E-3</v>
      </c>
      <c r="D12" s="77">
        <v>-0.7841874820599366</v>
      </c>
      <c r="E12" s="77">
        <v>-1.0379515875017846</v>
      </c>
      <c r="F12" s="77">
        <v>-14.442672158570666</v>
      </c>
      <c r="G12" s="77">
        <v>16.670206286028566</v>
      </c>
      <c r="H12" s="77">
        <v>9.9192298281618303</v>
      </c>
      <c r="I12" s="77">
        <v>103.81907194760231</v>
      </c>
      <c r="J12" s="77">
        <v>414.32467258486645</v>
      </c>
      <c r="K12" s="77">
        <v>164.01651910557072</v>
      </c>
      <c r="L12" s="77">
        <v>152.04908392018825</v>
      </c>
      <c r="M12" s="77">
        <v>135.31509820490322</v>
      </c>
      <c r="N12" s="77">
        <v>145.64247143340424</v>
      </c>
      <c r="O12" s="77">
        <v>144.27168375417051</v>
      </c>
      <c r="P12" s="77">
        <v>147.45423978661003</v>
      </c>
      <c r="Q12" s="77">
        <v>124.06852118426374</v>
      </c>
      <c r="R12" s="77">
        <v>126.62257324882344</v>
      </c>
      <c r="S12" s="77">
        <v>147.4665722746287</v>
      </c>
      <c r="T12" s="77">
        <v>378.43100725409766</v>
      </c>
      <c r="U12" s="77">
        <v>180.25645796806347</v>
      </c>
      <c r="V12" s="77">
        <v>143.96601080338397</v>
      </c>
      <c r="W12" s="77">
        <v>126.83301191310342</v>
      </c>
      <c r="X12" s="77">
        <v>137.46058792813906</v>
      </c>
      <c r="Y12" s="77">
        <v>148.98661777526144</v>
      </c>
      <c r="Z12" s="77">
        <v>149.94644524897242</v>
      </c>
      <c r="AA12" s="77">
        <v>138.93757369138174</v>
      </c>
      <c r="AB12" s="77">
        <v>134.02690827054158</v>
      </c>
      <c r="AC12" s="77">
        <v>125.41811298517791</v>
      </c>
      <c r="AD12" s="77">
        <v>245.97722356905479</v>
      </c>
      <c r="AE12" s="77">
        <v>260.01248630448646</v>
      </c>
    </row>
    <row r="13" spans="1:31" x14ac:dyDescent="0.25">
      <c r="A13" s="48" t="s">
        <v>42</v>
      </c>
      <c r="B13" s="49">
        <f t="shared" ref="B13:AE13" si="3">+B12/B9</f>
        <v>0</v>
      </c>
      <c r="C13" s="49">
        <f t="shared" si="3"/>
        <v>-1.0738057890519025E-3</v>
      </c>
      <c r="D13" s="49">
        <f t="shared" si="3"/>
        <v>-0.84491809742058632</v>
      </c>
      <c r="E13" s="49">
        <f t="shared" si="3"/>
        <v>-1.1608314292335553</v>
      </c>
      <c r="F13" s="49">
        <f t="shared" si="3"/>
        <v>-16.768003017326372</v>
      </c>
      <c r="G13" s="49">
        <f t="shared" si="3"/>
        <v>20.089638312875124</v>
      </c>
      <c r="H13" s="49">
        <f t="shared" si="3"/>
        <v>12.408133297536642</v>
      </c>
      <c r="I13" s="49">
        <f t="shared" si="3"/>
        <v>134.80406647409845</v>
      </c>
      <c r="J13" s="49">
        <f t="shared" si="3"/>
        <v>558.48096646366685</v>
      </c>
      <c r="K13" s="49">
        <f t="shared" si="3"/>
        <v>229.48406009454189</v>
      </c>
      <c r="L13" s="49">
        <f t="shared" si="3"/>
        <v>220.82391012451058</v>
      </c>
      <c r="M13" s="49">
        <f t="shared" si="3"/>
        <v>203.98860045733744</v>
      </c>
      <c r="N13" s="49">
        <f t="shared" si="3"/>
        <v>227.92366043896791</v>
      </c>
      <c r="O13" s="49">
        <f t="shared" si="3"/>
        <v>234.35802257990954</v>
      </c>
      <c r="P13" s="49">
        <f t="shared" si="3"/>
        <v>248.62989270102398</v>
      </c>
      <c r="Q13" s="49">
        <f t="shared" si="3"/>
        <v>217.14760181952605</v>
      </c>
      <c r="R13" s="49">
        <f t="shared" si="3"/>
        <v>230.06274460434128</v>
      </c>
      <c r="S13" s="49">
        <f t="shared" si="3"/>
        <v>278.11608070213339</v>
      </c>
      <c r="T13" s="49">
        <f t="shared" si="3"/>
        <v>740.82662472995889</v>
      </c>
      <c r="U13" s="49">
        <f t="shared" si="3"/>
        <v>366.28408997202507</v>
      </c>
      <c r="V13" s="49">
        <f t="shared" si="3"/>
        <v>303.68890288648561</v>
      </c>
      <c r="W13" s="49">
        <f t="shared" si="3"/>
        <v>277.71453544902255</v>
      </c>
      <c r="X13" s="49">
        <f t="shared" si="3"/>
        <v>312.4221781651259</v>
      </c>
      <c r="Y13" s="49">
        <f t="shared" si="3"/>
        <v>351.48619593047914</v>
      </c>
      <c r="Z13" s="49">
        <f t="shared" si="3"/>
        <v>367.23064601616005</v>
      </c>
      <c r="AA13" s="49">
        <f t="shared" si="3"/>
        <v>353.19927713181886</v>
      </c>
      <c r="AB13" s="49">
        <f t="shared" si="3"/>
        <v>353.66285506737489</v>
      </c>
      <c r="AC13" s="49">
        <f t="shared" si="3"/>
        <v>343.52240285475034</v>
      </c>
      <c r="AD13" s="49">
        <f t="shared" si="3"/>
        <v>699.4093400931522</v>
      </c>
      <c r="AE13" s="49">
        <f t="shared" si="3"/>
        <v>767.41112391965351</v>
      </c>
    </row>
    <row r="14" spans="1:31" x14ac:dyDescent="0.25">
      <c r="A14" s="50" t="s">
        <v>40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f>+'FCAS benefits'!K10</f>
        <v>15.788363499540408</v>
      </c>
      <c r="J14" s="51">
        <f>+'FCAS benefits'!L10</f>
        <v>15.876122651112929</v>
      </c>
      <c r="K14" s="51">
        <f>+'FCAS benefits'!M10</f>
        <v>15.961779131322926</v>
      </c>
      <c r="L14" s="51">
        <f>+'FCAS benefits'!N10</f>
        <v>16.048292176335021</v>
      </c>
      <c r="M14" s="51">
        <f>+'FCAS benefits'!O10</f>
        <v>16.135670351797238</v>
      </c>
      <c r="N14" s="51">
        <f>+'FCAS benefits'!P10</f>
        <v>16.223922309014075</v>
      </c>
      <c r="O14" s="51">
        <f>+'FCAS benefits'!Q10</f>
        <v>16.313056785803084</v>
      </c>
      <c r="P14" s="51">
        <f>+'FCAS benefits'!R10</f>
        <v>16.40308260735998</v>
      </c>
      <c r="Q14" s="51">
        <f>+'FCAS benefits'!S10</f>
        <v>16.49400868713245</v>
      </c>
      <c r="R14" s="51">
        <f>+'FCAS benefits'!T10</f>
        <v>16.585844027702642</v>
      </c>
      <c r="S14" s="51">
        <f>+'FCAS benefits'!U10</f>
        <v>16.678597721678535</v>
      </c>
      <c r="T14" s="51">
        <f>+'FCAS benefits'!V10</f>
        <v>16.772278952594188</v>
      </c>
      <c r="U14" s="51">
        <f>+'FCAS benefits'!W10</f>
        <v>16.866896995818998</v>
      </c>
      <c r="V14" s="51">
        <f>+'FCAS benefits'!X10</f>
        <v>16.962461219476054</v>
      </c>
      <c r="W14" s="51">
        <f>+'FCAS benefits'!Y10</f>
        <v>17.058981085369684</v>
      </c>
      <c r="X14" s="51">
        <f>+'FCAS benefits'!Z10</f>
        <v>17.156466149922252</v>
      </c>
      <c r="Y14" s="51">
        <f>+'FCAS benefits'!AA10</f>
        <v>17.25492606512034</v>
      </c>
      <c r="Z14" s="51">
        <f>+'FCAS benefits'!AB10</f>
        <v>17.354370579470412</v>
      </c>
      <c r="AA14" s="51">
        <f>+'FCAS benefits'!AC10</f>
        <v>17.454809538963978</v>
      </c>
      <c r="AB14" s="51">
        <f>+'FCAS benefits'!AD10</f>
        <v>17.556252888052487</v>
      </c>
      <c r="AC14" s="51">
        <f>+'FCAS benefits'!AE10</f>
        <v>17.658710670631876</v>
      </c>
      <c r="AD14" s="51">
        <f>+'FCAS benefits'!AF10</f>
        <v>17.762193031037071</v>
      </c>
      <c r="AE14" s="51">
        <f>+'FCAS benefits'!AG10</f>
        <v>17.866710215046304</v>
      </c>
    </row>
    <row r="15" spans="1:31" x14ac:dyDescent="0.25">
      <c r="A15" s="46" t="s">
        <v>41</v>
      </c>
      <c r="B15" s="47">
        <f>+B14+B13</f>
        <v>0</v>
      </c>
      <c r="C15" s="47">
        <f t="shared" ref="C15:AE15" si="4">+C14+C13</f>
        <v>-1.0738057890519025E-3</v>
      </c>
      <c r="D15" s="47">
        <f t="shared" si="4"/>
        <v>-0.84491809742058632</v>
      </c>
      <c r="E15" s="47">
        <f t="shared" si="4"/>
        <v>-1.1608314292335553</v>
      </c>
      <c r="F15" s="47">
        <f t="shared" si="4"/>
        <v>-16.768003017326372</v>
      </c>
      <c r="G15" s="47">
        <f t="shared" si="4"/>
        <v>20.089638312875124</v>
      </c>
      <c r="H15" s="47">
        <f t="shared" si="4"/>
        <v>12.408133297536642</v>
      </c>
      <c r="I15" s="47">
        <f t="shared" si="4"/>
        <v>150.59242997363884</v>
      </c>
      <c r="J15" s="47">
        <f t="shared" si="4"/>
        <v>574.3570891147798</v>
      </c>
      <c r="K15" s="47">
        <f t="shared" si="4"/>
        <v>245.4458392258648</v>
      </c>
      <c r="L15" s="47">
        <f t="shared" si="4"/>
        <v>236.8722023008456</v>
      </c>
      <c r="M15" s="47">
        <f t="shared" si="4"/>
        <v>220.12427080913469</v>
      </c>
      <c r="N15" s="47">
        <f t="shared" si="4"/>
        <v>244.147582747982</v>
      </c>
      <c r="O15" s="47">
        <f t="shared" si="4"/>
        <v>250.67107936571261</v>
      </c>
      <c r="P15" s="47">
        <f t="shared" si="4"/>
        <v>265.03297530838398</v>
      </c>
      <c r="Q15" s="47">
        <f t="shared" si="4"/>
        <v>233.64161050665848</v>
      </c>
      <c r="R15" s="47">
        <f t="shared" si="4"/>
        <v>246.64858863204392</v>
      </c>
      <c r="S15" s="47">
        <f t="shared" si="4"/>
        <v>294.79467842381194</v>
      </c>
      <c r="T15" s="47">
        <f t="shared" si="4"/>
        <v>757.5989036825531</v>
      </c>
      <c r="U15" s="47">
        <f t="shared" si="4"/>
        <v>383.15098696784406</v>
      </c>
      <c r="V15" s="47">
        <f t="shared" si="4"/>
        <v>320.65136410596165</v>
      </c>
      <c r="W15" s="47">
        <f t="shared" si="4"/>
        <v>294.77351653439223</v>
      </c>
      <c r="X15" s="47">
        <f t="shared" si="4"/>
        <v>329.57864431504817</v>
      </c>
      <c r="Y15" s="47">
        <f t="shared" si="4"/>
        <v>368.74112199559949</v>
      </c>
      <c r="Z15" s="47">
        <f t="shared" si="4"/>
        <v>384.58501659563046</v>
      </c>
      <c r="AA15" s="47">
        <f t="shared" si="4"/>
        <v>370.65408667078282</v>
      </c>
      <c r="AB15" s="47">
        <f t="shared" si="4"/>
        <v>371.21910795542738</v>
      </c>
      <c r="AC15" s="47">
        <f t="shared" si="4"/>
        <v>361.18111352538222</v>
      </c>
      <c r="AD15" s="47">
        <f t="shared" si="4"/>
        <v>717.1715331241893</v>
      </c>
      <c r="AE15" s="47">
        <f t="shared" si="4"/>
        <v>785.27783413469979</v>
      </c>
    </row>
    <row r="16" spans="1:31" x14ac:dyDescent="0.25">
      <c r="A16" s="53" t="s">
        <v>67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f>+'Project costs'!E8</f>
        <v>114.80884752267271</v>
      </c>
      <c r="J16" s="181">
        <f>+I16</f>
        <v>114.80884752267271</v>
      </c>
      <c r="K16" s="181">
        <f>+'Project costs'!F8</f>
        <v>187.41544270183226</v>
      </c>
      <c r="L16" s="181">
        <f>+K16</f>
        <v>187.41544270183226</v>
      </c>
      <c r="M16" s="181">
        <f>+L16</f>
        <v>187.41544270183226</v>
      </c>
      <c r="N16" s="181">
        <f>+M16</f>
        <v>187.41544270183226</v>
      </c>
      <c r="O16" s="181">
        <f t="shared" ref="O16:AE16" si="5">+N16</f>
        <v>187.41544270183226</v>
      </c>
      <c r="P16" s="181">
        <f t="shared" si="5"/>
        <v>187.41544270183226</v>
      </c>
      <c r="Q16" s="181">
        <f t="shared" si="5"/>
        <v>187.41544270183226</v>
      </c>
      <c r="R16" s="181">
        <f t="shared" si="5"/>
        <v>187.41544270183226</v>
      </c>
      <c r="S16" s="181">
        <f t="shared" si="5"/>
        <v>187.41544270183226</v>
      </c>
      <c r="T16" s="181">
        <f t="shared" si="5"/>
        <v>187.41544270183226</v>
      </c>
      <c r="U16" s="181">
        <f t="shared" si="5"/>
        <v>187.41544270183226</v>
      </c>
      <c r="V16" s="181">
        <f t="shared" si="5"/>
        <v>187.41544270183226</v>
      </c>
      <c r="W16" s="181">
        <f t="shared" si="5"/>
        <v>187.41544270183226</v>
      </c>
      <c r="X16" s="181">
        <f t="shared" si="5"/>
        <v>187.41544270183226</v>
      </c>
      <c r="Y16" s="181">
        <f t="shared" si="5"/>
        <v>187.41544270183226</v>
      </c>
      <c r="Z16" s="181">
        <f t="shared" si="5"/>
        <v>187.41544270183226</v>
      </c>
      <c r="AA16" s="181">
        <f t="shared" si="5"/>
        <v>187.41544270183226</v>
      </c>
      <c r="AB16" s="181">
        <f t="shared" si="5"/>
        <v>187.41544270183226</v>
      </c>
      <c r="AC16" s="181">
        <f t="shared" si="5"/>
        <v>187.41544270183226</v>
      </c>
      <c r="AD16" s="181">
        <f t="shared" si="5"/>
        <v>187.41544270183226</v>
      </c>
      <c r="AE16" s="181">
        <f t="shared" si="5"/>
        <v>187.41544270183226</v>
      </c>
    </row>
    <row r="17" spans="1:31" x14ac:dyDescent="0.25">
      <c r="A17" s="182" t="s">
        <v>68</v>
      </c>
      <c r="B17" s="156">
        <f>XNPV(SlowWACC,B15:AE15,$B$10:$AE$10)</f>
        <v>4187.175315288674</v>
      </c>
      <c r="C17" s="134"/>
      <c r="D17" s="135"/>
      <c r="E17" s="136"/>
      <c r="F17" s="137"/>
      <c r="G17" s="9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</row>
    <row r="18" spans="1:31" x14ac:dyDescent="0.25">
      <c r="A18" s="182" t="s">
        <v>69</v>
      </c>
      <c r="B18" s="156">
        <f>+XNPV(SlowWACC,B16:AE16,$B$10:$AE$10)</f>
        <v>2160.2129452808608</v>
      </c>
      <c r="C18" s="134"/>
      <c r="D18" s="135"/>
      <c r="E18" s="136"/>
      <c r="F18" s="137"/>
      <c r="G18" s="97"/>
      <c r="H18" s="95"/>
      <c r="I18" s="95"/>
      <c r="J18" s="96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</row>
    <row r="19" spans="1:31" ht="15.75" thickBot="1" x14ac:dyDescent="0.3">
      <c r="A19" s="78" t="s">
        <v>119</v>
      </c>
      <c r="B19" s="157">
        <f>+B17-B18</f>
        <v>2026.9623700078132</v>
      </c>
      <c r="C19" s="134"/>
      <c r="D19" s="135"/>
      <c r="E19" s="136"/>
      <c r="F19" s="137"/>
      <c r="G19" s="97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</row>
    <row r="20" spans="1:31" ht="16.5" thickTop="1" thickBot="1" x14ac:dyDescent="0.3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</row>
    <row r="21" spans="1:31" ht="15.75" thickTop="1" x14ac:dyDescent="0.25">
      <c r="A21" s="71" t="str">
        <f>+A2</f>
        <v>Option 3:  600 MW in 2027 and 600 MW in 2029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</row>
    <row r="22" spans="1:31" x14ac:dyDescent="0.25">
      <c r="A22" s="73" t="s">
        <v>72</v>
      </c>
      <c r="B22" s="74" t="str">
        <f>+Overview!D7</f>
        <v>Central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</row>
    <row r="23" spans="1:31" x14ac:dyDescent="0.25">
      <c r="A23" s="2" t="s">
        <v>34</v>
      </c>
      <c r="B23" s="1">
        <v>0</v>
      </c>
      <c r="C23" s="1">
        <f>+B23+1</f>
        <v>1</v>
      </c>
      <c r="D23" s="1">
        <f t="shared" ref="D23:AE23" si="6">+C23+1</f>
        <v>2</v>
      </c>
      <c r="E23" s="1">
        <f t="shared" si="6"/>
        <v>3</v>
      </c>
      <c r="F23" s="1">
        <f t="shared" si="6"/>
        <v>4</v>
      </c>
      <c r="G23" s="1">
        <f t="shared" si="6"/>
        <v>5</v>
      </c>
      <c r="H23" s="8">
        <f t="shared" si="6"/>
        <v>6</v>
      </c>
      <c r="I23" s="1">
        <f t="shared" si="6"/>
        <v>7</v>
      </c>
      <c r="J23" s="1">
        <f t="shared" si="6"/>
        <v>8</v>
      </c>
      <c r="K23" s="1">
        <f t="shared" si="6"/>
        <v>9</v>
      </c>
      <c r="L23" s="1">
        <f t="shared" si="6"/>
        <v>10</v>
      </c>
      <c r="M23" s="1">
        <f t="shared" si="6"/>
        <v>11</v>
      </c>
      <c r="N23" s="1">
        <f t="shared" si="6"/>
        <v>12</v>
      </c>
      <c r="O23" s="1">
        <f t="shared" si="6"/>
        <v>13</v>
      </c>
      <c r="P23" s="1">
        <f t="shared" si="6"/>
        <v>14</v>
      </c>
      <c r="Q23" s="1">
        <f t="shared" si="6"/>
        <v>15</v>
      </c>
      <c r="R23" s="1">
        <f t="shared" si="6"/>
        <v>16</v>
      </c>
      <c r="S23" s="1">
        <f t="shared" si="6"/>
        <v>17</v>
      </c>
      <c r="T23" s="1">
        <f t="shared" si="6"/>
        <v>18</v>
      </c>
      <c r="U23" s="1">
        <f t="shared" si="6"/>
        <v>19</v>
      </c>
      <c r="V23" s="1">
        <f t="shared" si="6"/>
        <v>20</v>
      </c>
      <c r="W23" s="1">
        <f t="shared" si="6"/>
        <v>21</v>
      </c>
      <c r="X23" s="1">
        <f t="shared" si="6"/>
        <v>22</v>
      </c>
      <c r="Y23" s="1">
        <f t="shared" si="6"/>
        <v>23</v>
      </c>
      <c r="Z23" s="1">
        <f t="shared" si="6"/>
        <v>24</v>
      </c>
      <c r="AA23" s="1">
        <f t="shared" si="6"/>
        <v>25</v>
      </c>
      <c r="AB23" s="1">
        <f t="shared" si="6"/>
        <v>26</v>
      </c>
      <c r="AC23" s="1">
        <f t="shared" si="6"/>
        <v>27</v>
      </c>
      <c r="AD23" s="1">
        <f t="shared" si="6"/>
        <v>28</v>
      </c>
      <c r="AE23" s="1">
        <f t="shared" si="6"/>
        <v>29</v>
      </c>
    </row>
    <row r="24" spans="1:31" x14ac:dyDescent="0.25">
      <c r="A24" t="s">
        <v>35</v>
      </c>
      <c r="B24" s="4">
        <v>1</v>
      </c>
      <c r="C24" s="4">
        <f t="shared" ref="C24:AE24" si="7">1/((1+NotSlowWACC)^((C25-$B$10)/365))</f>
        <v>0.95419847328244267</v>
      </c>
      <c r="D24" s="4">
        <f t="shared" si="7"/>
        <v>0.91049472641454443</v>
      </c>
      <c r="E24" s="4">
        <f t="shared" si="7"/>
        <v>0.86879267787647374</v>
      </c>
      <c r="F24" s="4">
        <f t="shared" si="7"/>
        <v>0.82889417004246191</v>
      </c>
      <c r="G24" s="4">
        <f t="shared" si="7"/>
        <v>0.79092955156723455</v>
      </c>
      <c r="H24" s="4">
        <f t="shared" si="7"/>
        <v>0.75470377057942228</v>
      </c>
      <c r="I24" s="4">
        <f t="shared" si="7"/>
        <v>0.7201371856673876</v>
      </c>
      <c r="J24" s="4">
        <f t="shared" si="7"/>
        <v>0.68706554513038165</v>
      </c>
      <c r="K24" s="4">
        <f t="shared" si="7"/>
        <v>0.65559689420837941</v>
      </c>
      <c r="L24" s="4">
        <f t="shared" si="7"/>
        <v>0.62556955554234672</v>
      </c>
      <c r="M24" s="4">
        <f t="shared" si="7"/>
        <v>0.5969175148304835</v>
      </c>
      <c r="N24" s="4">
        <f t="shared" si="7"/>
        <v>0.56950462479561925</v>
      </c>
      <c r="O24" s="4">
        <f t="shared" si="7"/>
        <v>0.54342044350727026</v>
      </c>
      <c r="P24" s="4">
        <f t="shared" si="7"/>
        <v>0.51853095754510525</v>
      </c>
      <c r="Q24" s="4">
        <f t="shared" si="7"/>
        <v>0.49478144803922253</v>
      </c>
      <c r="R24" s="4">
        <f t="shared" si="7"/>
        <v>0.47205906330530845</v>
      </c>
      <c r="S24" s="4">
        <f t="shared" si="7"/>
        <v>0.45043803750506534</v>
      </c>
      <c r="T24" s="4">
        <f t="shared" si="7"/>
        <v>0.429807287695673</v>
      </c>
      <c r="U24" s="4">
        <f t="shared" si="7"/>
        <v>0.41012145772487879</v>
      </c>
      <c r="V24" s="4">
        <f t="shared" si="7"/>
        <v>0.39128700548947559</v>
      </c>
      <c r="W24" s="4">
        <f t="shared" si="7"/>
        <v>0.37336546325331643</v>
      </c>
      <c r="X24" s="4">
        <f t="shared" si="7"/>
        <v>0.35626475501270649</v>
      </c>
      <c r="Y24" s="4">
        <f t="shared" si="7"/>
        <v>0.33994728531746798</v>
      </c>
      <c r="Z24" s="4">
        <f t="shared" si="7"/>
        <v>0.32433551766359908</v>
      </c>
      <c r="AA24" s="4">
        <f t="shared" si="7"/>
        <v>0.30948045578587696</v>
      </c>
      <c r="AB24" s="4">
        <f t="shared" si="7"/>
        <v>0.29530577842163835</v>
      </c>
      <c r="AC24" s="4">
        <f t="shared" si="7"/>
        <v>0.28178032292141064</v>
      </c>
      <c r="AD24" s="4">
        <f t="shared" si="7"/>
        <v>0.26883981972906118</v>
      </c>
      <c r="AE24" s="4">
        <f t="shared" si="7"/>
        <v>0.25652654554299731</v>
      </c>
    </row>
    <row r="25" spans="1:31" x14ac:dyDescent="0.25">
      <c r="A25" s="5" t="s">
        <v>70</v>
      </c>
      <c r="B25" s="6">
        <f t="shared" ref="B25:AE26" si="8">+B10</f>
        <v>44013</v>
      </c>
      <c r="C25" s="6">
        <f t="shared" si="8"/>
        <v>44378</v>
      </c>
      <c r="D25" s="6">
        <f t="shared" si="8"/>
        <v>44743</v>
      </c>
      <c r="E25" s="6">
        <f t="shared" si="8"/>
        <v>45108</v>
      </c>
      <c r="F25" s="6">
        <f t="shared" si="8"/>
        <v>45474</v>
      </c>
      <c r="G25" s="6">
        <f t="shared" si="8"/>
        <v>45839</v>
      </c>
      <c r="H25" s="6">
        <f t="shared" si="8"/>
        <v>46204</v>
      </c>
      <c r="I25" s="6">
        <f t="shared" si="8"/>
        <v>46569</v>
      </c>
      <c r="J25" s="6">
        <f t="shared" si="8"/>
        <v>46935</v>
      </c>
      <c r="K25" s="6">
        <f t="shared" si="8"/>
        <v>47300</v>
      </c>
      <c r="L25" s="6">
        <f t="shared" si="8"/>
        <v>47665</v>
      </c>
      <c r="M25" s="6">
        <f t="shared" si="8"/>
        <v>48030</v>
      </c>
      <c r="N25" s="6">
        <f t="shared" si="8"/>
        <v>48396</v>
      </c>
      <c r="O25" s="6">
        <f t="shared" si="8"/>
        <v>48761</v>
      </c>
      <c r="P25" s="6">
        <f t="shared" si="8"/>
        <v>49126</v>
      </c>
      <c r="Q25" s="6">
        <f t="shared" si="8"/>
        <v>49491</v>
      </c>
      <c r="R25" s="6">
        <f t="shared" si="8"/>
        <v>49857</v>
      </c>
      <c r="S25" s="6">
        <f t="shared" si="8"/>
        <v>50222</v>
      </c>
      <c r="T25" s="6">
        <f t="shared" si="8"/>
        <v>50587</v>
      </c>
      <c r="U25" s="6">
        <f t="shared" si="8"/>
        <v>50952</v>
      </c>
      <c r="V25" s="6">
        <f t="shared" si="8"/>
        <v>51318</v>
      </c>
      <c r="W25" s="6">
        <f t="shared" si="8"/>
        <v>51683</v>
      </c>
      <c r="X25" s="6">
        <f t="shared" si="8"/>
        <v>52048</v>
      </c>
      <c r="Y25" s="6">
        <f t="shared" si="8"/>
        <v>52413</v>
      </c>
      <c r="Z25" s="6">
        <f t="shared" si="8"/>
        <v>52779</v>
      </c>
      <c r="AA25" s="6">
        <f t="shared" si="8"/>
        <v>53144</v>
      </c>
      <c r="AB25" s="6">
        <f t="shared" si="8"/>
        <v>53509</v>
      </c>
      <c r="AC25" s="6">
        <f t="shared" si="8"/>
        <v>53874</v>
      </c>
      <c r="AD25" s="6">
        <f t="shared" si="8"/>
        <v>54240</v>
      </c>
      <c r="AE25" s="6">
        <f t="shared" si="8"/>
        <v>54605</v>
      </c>
    </row>
    <row r="26" spans="1:31" x14ac:dyDescent="0.25">
      <c r="A26" s="179" t="s">
        <v>39</v>
      </c>
      <c r="B26" s="180" t="str">
        <f t="shared" si="8"/>
        <v>2020-21</v>
      </c>
      <c r="C26" s="180" t="str">
        <f t="shared" si="8"/>
        <v>2021-22</v>
      </c>
      <c r="D26" s="180" t="str">
        <f t="shared" si="8"/>
        <v>2022-23</v>
      </c>
      <c r="E26" s="180" t="str">
        <f t="shared" si="8"/>
        <v>2023-24</v>
      </c>
      <c r="F26" s="180" t="str">
        <f t="shared" si="8"/>
        <v>2024-25</v>
      </c>
      <c r="G26" s="180" t="str">
        <f t="shared" si="8"/>
        <v>2025-26</v>
      </c>
      <c r="H26" s="180" t="str">
        <f t="shared" si="8"/>
        <v>2026-27</v>
      </c>
      <c r="I26" s="180" t="str">
        <f t="shared" si="8"/>
        <v>2027-28</v>
      </c>
      <c r="J26" s="180" t="str">
        <f t="shared" si="8"/>
        <v>2028-29</v>
      </c>
      <c r="K26" s="180" t="str">
        <f t="shared" si="8"/>
        <v>2029-30</v>
      </c>
      <c r="L26" s="180" t="str">
        <f t="shared" si="8"/>
        <v>2030-31</v>
      </c>
      <c r="M26" s="180" t="str">
        <f t="shared" si="8"/>
        <v>2031-32</v>
      </c>
      <c r="N26" s="180" t="str">
        <f t="shared" si="8"/>
        <v>2032-33</v>
      </c>
      <c r="O26" s="180" t="str">
        <f t="shared" si="8"/>
        <v>2033-34</v>
      </c>
      <c r="P26" s="180" t="str">
        <f t="shared" si="8"/>
        <v>2034-35</v>
      </c>
      <c r="Q26" s="180" t="str">
        <f t="shared" si="8"/>
        <v>2035-36</v>
      </c>
      <c r="R26" s="180" t="str">
        <f t="shared" si="8"/>
        <v>2036-37</v>
      </c>
      <c r="S26" s="180" t="str">
        <f t="shared" si="8"/>
        <v>2037-38</v>
      </c>
      <c r="T26" s="180" t="str">
        <f t="shared" si="8"/>
        <v>2038-39</v>
      </c>
      <c r="U26" s="180" t="str">
        <f t="shared" si="8"/>
        <v>2039-40</v>
      </c>
      <c r="V26" s="180" t="str">
        <f t="shared" si="8"/>
        <v>2040-41</v>
      </c>
      <c r="W26" s="180" t="str">
        <f t="shared" si="8"/>
        <v>2041-42</v>
      </c>
      <c r="X26" s="180" t="str">
        <f t="shared" si="8"/>
        <v>2042-43</v>
      </c>
      <c r="Y26" s="180" t="str">
        <f t="shared" si="8"/>
        <v>2043-44</v>
      </c>
      <c r="Z26" s="180" t="str">
        <f t="shared" si="8"/>
        <v>2044-45</v>
      </c>
      <c r="AA26" s="180" t="str">
        <f t="shared" si="8"/>
        <v>2045-46</v>
      </c>
      <c r="AB26" s="180" t="str">
        <f t="shared" si="8"/>
        <v>2046-47</v>
      </c>
      <c r="AC26" s="180" t="str">
        <f t="shared" si="8"/>
        <v>2047-48</v>
      </c>
      <c r="AD26" s="180" t="str">
        <f t="shared" si="8"/>
        <v>2048-49</v>
      </c>
      <c r="AE26" s="180" t="str">
        <f t="shared" si="8"/>
        <v>2049-50</v>
      </c>
    </row>
    <row r="27" spans="1:31" x14ac:dyDescent="0.25">
      <c r="A27" s="52" t="str">
        <f>+A12</f>
        <v>Market benefits (PV at 2020)</v>
      </c>
      <c r="B27" s="77">
        <v>0</v>
      </c>
      <c r="C27" s="77">
        <v>-0.27811697872543739</v>
      </c>
      <c r="D27" s="77">
        <v>-3.4659597778815465</v>
      </c>
      <c r="E27" s="77">
        <v>-5.2723376977266732</v>
      </c>
      <c r="F27" s="77">
        <v>0.92069908670858802</v>
      </c>
      <c r="G27" s="77">
        <v>48.184514670065212</v>
      </c>
      <c r="H27" s="77">
        <v>-24.201034404407988</v>
      </c>
      <c r="I27" s="77">
        <v>20.381723768671314</v>
      </c>
      <c r="J27" s="77">
        <v>47.563154495450974</v>
      </c>
      <c r="K27" s="77">
        <v>66.572325460066025</v>
      </c>
      <c r="L27" s="77">
        <v>51.528817613356303</v>
      </c>
      <c r="M27" s="77">
        <v>52.486100115684252</v>
      </c>
      <c r="N27" s="77">
        <v>132.67648015682732</v>
      </c>
      <c r="O27" s="77">
        <v>121.65241927288999</v>
      </c>
      <c r="P27" s="77">
        <v>123.91320036459267</v>
      </c>
      <c r="Q27" s="77">
        <v>128.12026652914287</v>
      </c>
      <c r="R27" s="77">
        <v>126.59579310832004</v>
      </c>
      <c r="S27" s="77">
        <v>209.8187300729854</v>
      </c>
      <c r="T27" s="77">
        <v>173.16610903617976</v>
      </c>
      <c r="U27" s="77">
        <v>190.5958025285062</v>
      </c>
      <c r="V27" s="77">
        <v>201.36493990653562</v>
      </c>
      <c r="W27" s="77">
        <v>170.82798053143031</v>
      </c>
      <c r="X27" s="77">
        <v>197.70212065380403</v>
      </c>
      <c r="Y27" s="77">
        <v>191.66217416349639</v>
      </c>
      <c r="Z27" s="77">
        <v>164.50460872980167</v>
      </c>
      <c r="AA27" s="77">
        <v>170.92906874313172</v>
      </c>
      <c r="AB27" s="77">
        <v>177.99677319903776</v>
      </c>
      <c r="AC27" s="77">
        <v>172.01060237150176</v>
      </c>
      <c r="AD27" s="77">
        <v>177.85900426624539</v>
      </c>
      <c r="AE27" s="77">
        <v>164.55559114792933</v>
      </c>
    </row>
    <row r="28" spans="1:31" x14ac:dyDescent="0.25">
      <c r="A28" s="48" t="s">
        <v>42</v>
      </c>
      <c r="B28" s="49">
        <f t="shared" ref="B28:AE28" si="9">+B27/B24</f>
        <v>0</v>
      </c>
      <c r="C28" s="49">
        <f t="shared" si="9"/>
        <v>-0.29146659370425843</v>
      </c>
      <c r="D28" s="49">
        <f t="shared" si="9"/>
        <v>-3.8066774878864149</v>
      </c>
      <c r="E28" s="49">
        <f t="shared" si="9"/>
        <v>-6.0685798027366689</v>
      </c>
      <c r="F28" s="49">
        <f t="shared" si="9"/>
        <v>1.1107558962097939</v>
      </c>
      <c r="G28" s="49">
        <f t="shared" si="9"/>
        <v>60.921373559234361</v>
      </c>
      <c r="H28" s="49">
        <f t="shared" si="9"/>
        <v>-32.066931884847605</v>
      </c>
      <c r="I28" s="49">
        <f t="shared" si="9"/>
        <v>28.302557032633356</v>
      </c>
      <c r="J28" s="49">
        <f t="shared" si="9"/>
        <v>69.226516789493658</v>
      </c>
      <c r="K28" s="49">
        <f t="shared" si="9"/>
        <v>101.54460164191416</v>
      </c>
      <c r="L28" s="49">
        <f t="shared" si="9"/>
        <v>82.371044365614367</v>
      </c>
      <c r="M28" s="49">
        <f t="shared" si="9"/>
        <v>87.928564352127609</v>
      </c>
      <c r="N28" s="49">
        <f t="shared" si="9"/>
        <v>232.96822252223421</v>
      </c>
      <c r="O28" s="49">
        <f t="shared" si="9"/>
        <v>223.86426702635165</v>
      </c>
      <c r="P28" s="49">
        <f t="shared" si="9"/>
        <v>238.96972506952756</v>
      </c>
      <c r="Q28" s="49">
        <f t="shared" si="9"/>
        <v>258.94314962065124</v>
      </c>
      <c r="R28" s="49">
        <f t="shared" si="9"/>
        <v>268.17786787506941</v>
      </c>
      <c r="S28" s="49">
        <f t="shared" si="9"/>
        <v>465.81041697799759</v>
      </c>
      <c r="T28" s="49">
        <f t="shared" si="9"/>
        <v>402.89244504106875</v>
      </c>
      <c r="U28" s="49">
        <f t="shared" si="9"/>
        <v>464.73014015365982</v>
      </c>
      <c r="V28" s="49">
        <f t="shared" si="9"/>
        <v>514.62209856583581</v>
      </c>
      <c r="W28" s="49">
        <f t="shared" si="9"/>
        <v>457.53557129500496</v>
      </c>
      <c r="X28" s="49">
        <f t="shared" si="9"/>
        <v>554.93033726210945</v>
      </c>
      <c r="Y28" s="49">
        <f t="shared" si="9"/>
        <v>563.79969025052822</v>
      </c>
      <c r="Z28" s="49">
        <f t="shared" si="9"/>
        <v>507.20503851948126</v>
      </c>
      <c r="AA28" s="49">
        <f t="shared" si="9"/>
        <v>552.30973571201525</v>
      </c>
      <c r="AB28" s="49">
        <f t="shared" si="9"/>
        <v>602.75411524421145</v>
      </c>
      <c r="AC28" s="49">
        <f t="shared" si="9"/>
        <v>610.44220756137054</v>
      </c>
      <c r="AD28" s="49">
        <f t="shared" si="9"/>
        <v>661.57983756086821</v>
      </c>
      <c r="AE28" s="49">
        <f t="shared" si="9"/>
        <v>641.47587844996576</v>
      </c>
    </row>
    <row r="29" spans="1:31" x14ac:dyDescent="0.25">
      <c r="A29" s="50" t="s">
        <v>40</v>
      </c>
      <c r="B29" s="51">
        <f t="shared" ref="B29:H29" si="10">+B14</f>
        <v>0</v>
      </c>
      <c r="C29" s="51">
        <f t="shared" si="10"/>
        <v>0</v>
      </c>
      <c r="D29" s="51">
        <f t="shared" si="10"/>
        <v>0</v>
      </c>
      <c r="E29" s="51">
        <f t="shared" si="10"/>
        <v>0</v>
      </c>
      <c r="F29" s="51">
        <f t="shared" si="10"/>
        <v>0</v>
      </c>
      <c r="G29" s="51">
        <f t="shared" si="10"/>
        <v>0</v>
      </c>
      <c r="H29" s="51">
        <f t="shared" si="10"/>
        <v>0</v>
      </c>
      <c r="I29" s="51">
        <f>+I14</f>
        <v>15.788363499540408</v>
      </c>
      <c r="J29" s="51">
        <f t="shared" ref="J29:AE29" si="11">+J14</f>
        <v>15.876122651112929</v>
      </c>
      <c r="K29" s="51">
        <f t="shared" si="11"/>
        <v>15.961779131322926</v>
      </c>
      <c r="L29" s="51">
        <f t="shared" si="11"/>
        <v>16.048292176335021</v>
      </c>
      <c r="M29" s="51">
        <f t="shared" si="11"/>
        <v>16.135670351797238</v>
      </c>
      <c r="N29" s="51">
        <f t="shared" si="11"/>
        <v>16.223922309014075</v>
      </c>
      <c r="O29" s="51">
        <f t="shared" si="11"/>
        <v>16.313056785803084</v>
      </c>
      <c r="P29" s="51">
        <f t="shared" si="11"/>
        <v>16.40308260735998</v>
      </c>
      <c r="Q29" s="51">
        <f t="shared" si="11"/>
        <v>16.49400868713245</v>
      </c>
      <c r="R29" s="51">
        <f t="shared" si="11"/>
        <v>16.585844027702642</v>
      </c>
      <c r="S29" s="51">
        <f t="shared" si="11"/>
        <v>16.678597721678535</v>
      </c>
      <c r="T29" s="51">
        <f t="shared" si="11"/>
        <v>16.772278952594188</v>
      </c>
      <c r="U29" s="51">
        <f t="shared" si="11"/>
        <v>16.866896995818998</v>
      </c>
      <c r="V29" s="51">
        <f t="shared" si="11"/>
        <v>16.962461219476054</v>
      </c>
      <c r="W29" s="51">
        <f t="shared" si="11"/>
        <v>17.058981085369684</v>
      </c>
      <c r="X29" s="51">
        <f t="shared" si="11"/>
        <v>17.156466149922252</v>
      </c>
      <c r="Y29" s="51">
        <f t="shared" si="11"/>
        <v>17.25492606512034</v>
      </c>
      <c r="Z29" s="51">
        <f t="shared" si="11"/>
        <v>17.354370579470412</v>
      </c>
      <c r="AA29" s="51">
        <f t="shared" si="11"/>
        <v>17.454809538963978</v>
      </c>
      <c r="AB29" s="51">
        <f t="shared" si="11"/>
        <v>17.556252888052487</v>
      </c>
      <c r="AC29" s="51">
        <f t="shared" si="11"/>
        <v>17.658710670631876</v>
      </c>
      <c r="AD29" s="51">
        <f t="shared" si="11"/>
        <v>17.762193031037071</v>
      </c>
      <c r="AE29" s="51">
        <f t="shared" si="11"/>
        <v>17.866710215046304</v>
      </c>
    </row>
    <row r="30" spans="1:31" x14ac:dyDescent="0.25">
      <c r="A30" s="46" t="s">
        <v>41</v>
      </c>
      <c r="B30" s="47">
        <f>+B29+B28</f>
        <v>0</v>
      </c>
      <c r="C30" s="47">
        <f t="shared" ref="C30:AE30" si="12">+C29+C28</f>
        <v>-0.29146659370425843</v>
      </c>
      <c r="D30" s="47">
        <f t="shared" si="12"/>
        <v>-3.8066774878864149</v>
      </c>
      <c r="E30" s="47">
        <f t="shared" si="12"/>
        <v>-6.0685798027366689</v>
      </c>
      <c r="F30" s="47">
        <f t="shared" si="12"/>
        <v>1.1107558962097939</v>
      </c>
      <c r="G30" s="47">
        <f t="shared" si="12"/>
        <v>60.921373559234361</v>
      </c>
      <c r="H30" s="47">
        <f t="shared" si="12"/>
        <v>-32.066931884847605</v>
      </c>
      <c r="I30" s="47">
        <f t="shared" si="12"/>
        <v>44.090920532173762</v>
      </c>
      <c r="J30" s="47">
        <f t="shared" si="12"/>
        <v>85.102639440606595</v>
      </c>
      <c r="K30" s="47">
        <f t="shared" si="12"/>
        <v>117.50638077323708</v>
      </c>
      <c r="L30" s="47">
        <f t="shared" si="12"/>
        <v>98.419336541949392</v>
      </c>
      <c r="M30" s="47">
        <f t="shared" si="12"/>
        <v>104.06423470392485</v>
      </c>
      <c r="N30" s="47">
        <f t="shared" si="12"/>
        <v>249.1921448312483</v>
      </c>
      <c r="O30" s="47">
        <f t="shared" si="12"/>
        <v>240.17732381215473</v>
      </c>
      <c r="P30" s="47">
        <f t="shared" si="12"/>
        <v>255.37280767688753</v>
      </c>
      <c r="Q30" s="47">
        <f t="shared" si="12"/>
        <v>275.4371583077837</v>
      </c>
      <c r="R30" s="47">
        <f t="shared" si="12"/>
        <v>284.76371190277206</v>
      </c>
      <c r="S30" s="47">
        <f t="shared" si="12"/>
        <v>482.48901469967615</v>
      </c>
      <c r="T30" s="47">
        <f t="shared" si="12"/>
        <v>419.66472399366296</v>
      </c>
      <c r="U30" s="47">
        <f t="shared" si="12"/>
        <v>481.59703714947881</v>
      </c>
      <c r="V30" s="47">
        <f t="shared" si="12"/>
        <v>531.58455978531185</v>
      </c>
      <c r="W30" s="47">
        <f t="shared" si="12"/>
        <v>474.59455238037464</v>
      </c>
      <c r="X30" s="47">
        <f t="shared" si="12"/>
        <v>572.08680341203171</v>
      </c>
      <c r="Y30" s="47">
        <f t="shared" si="12"/>
        <v>581.05461631564856</v>
      </c>
      <c r="Z30" s="47">
        <f t="shared" si="12"/>
        <v>524.55940909895162</v>
      </c>
      <c r="AA30" s="47">
        <f t="shared" si="12"/>
        <v>569.76454525097927</v>
      </c>
      <c r="AB30" s="47">
        <f t="shared" si="12"/>
        <v>620.31036813226399</v>
      </c>
      <c r="AC30" s="47">
        <f t="shared" si="12"/>
        <v>628.10091823200241</v>
      </c>
      <c r="AD30" s="47">
        <f t="shared" si="12"/>
        <v>679.34203059190531</v>
      </c>
      <c r="AE30" s="47">
        <f t="shared" si="12"/>
        <v>659.34258866501204</v>
      </c>
    </row>
    <row r="31" spans="1:31" x14ac:dyDescent="0.25">
      <c r="A31" s="53" t="s">
        <v>67</v>
      </c>
      <c r="B31" s="181">
        <v>0</v>
      </c>
      <c r="C31" s="181">
        <v>0</v>
      </c>
      <c r="D31" s="181">
        <v>0</v>
      </c>
      <c r="E31" s="181">
        <v>0</v>
      </c>
      <c r="F31" s="181">
        <v>0</v>
      </c>
      <c r="G31" s="181">
        <v>0</v>
      </c>
      <c r="H31" s="181">
        <v>0</v>
      </c>
      <c r="I31" s="181">
        <f>+'Project costs'!C8</f>
        <v>129.84885751784327</v>
      </c>
      <c r="J31" s="181">
        <f>+I31</f>
        <v>129.84885751784327</v>
      </c>
      <c r="K31" s="181">
        <f>+'Project costs'!D8</f>
        <v>210.52983369844401</v>
      </c>
      <c r="L31" s="181">
        <f>+K31</f>
        <v>210.52983369844401</v>
      </c>
      <c r="M31" s="181">
        <f>+L31</f>
        <v>210.52983369844401</v>
      </c>
      <c r="N31" s="181">
        <f>+M31</f>
        <v>210.52983369844401</v>
      </c>
      <c r="O31" s="181">
        <f t="shared" ref="O31:AE31" si="13">+N31</f>
        <v>210.52983369844401</v>
      </c>
      <c r="P31" s="181">
        <f t="shared" si="13"/>
        <v>210.52983369844401</v>
      </c>
      <c r="Q31" s="181">
        <f t="shared" si="13"/>
        <v>210.52983369844401</v>
      </c>
      <c r="R31" s="181">
        <f t="shared" si="13"/>
        <v>210.52983369844401</v>
      </c>
      <c r="S31" s="181">
        <f t="shared" si="13"/>
        <v>210.52983369844401</v>
      </c>
      <c r="T31" s="181">
        <f t="shared" si="13"/>
        <v>210.52983369844401</v>
      </c>
      <c r="U31" s="181">
        <f t="shared" si="13"/>
        <v>210.52983369844401</v>
      </c>
      <c r="V31" s="181">
        <f t="shared" si="13"/>
        <v>210.52983369844401</v>
      </c>
      <c r="W31" s="181">
        <f t="shared" si="13"/>
        <v>210.52983369844401</v>
      </c>
      <c r="X31" s="181">
        <f t="shared" si="13"/>
        <v>210.52983369844401</v>
      </c>
      <c r="Y31" s="181">
        <f t="shared" si="13"/>
        <v>210.52983369844401</v>
      </c>
      <c r="Z31" s="181">
        <f t="shared" si="13"/>
        <v>210.52983369844401</v>
      </c>
      <c r="AA31" s="181">
        <f t="shared" si="13"/>
        <v>210.52983369844401</v>
      </c>
      <c r="AB31" s="181">
        <f t="shared" si="13"/>
        <v>210.52983369844401</v>
      </c>
      <c r="AC31" s="181">
        <f t="shared" si="13"/>
        <v>210.52983369844401</v>
      </c>
      <c r="AD31" s="181">
        <f t="shared" si="13"/>
        <v>210.52983369844401</v>
      </c>
      <c r="AE31" s="181">
        <f t="shared" si="13"/>
        <v>210.52983369844401</v>
      </c>
    </row>
    <row r="32" spans="1:31" x14ac:dyDescent="0.25">
      <c r="A32" t="s">
        <v>68</v>
      </c>
      <c r="B32" s="43">
        <f>XNPV(NotSlowWACC,B30:AE30,$B$10:$AE$10)</f>
        <v>3422.5579416714627</v>
      </c>
      <c r="C32" s="134"/>
      <c r="D32" s="135"/>
      <c r="E32" s="136"/>
      <c r="F32" s="137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</row>
    <row r="33" spans="1:31" x14ac:dyDescent="0.25">
      <c r="A33" t="s">
        <v>69</v>
      </c>
      <c r="B33" s="43">
        <f>XNPV(NotSlowWACC,B31:AE31,$B$10:$AE$10)</f>
        <v>2069.8878818125322</v>
      </c>
      <c r="C33" s="134"/>
      <c r="D33" s="135"/>
      <c r="E33" s="136"/>
      <c r="F33" s="137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</row>
    <row r="34" spans="1:31" ht="15.75" thickBot="1" x14ac:dyDescent="0.3">
      <c r="A34" s="1" t="s">
        <v>119</v>
      </c>
      <c r="B34" s="68">
        <f>+B32-B33</f>
        <v>1352.6700598589305</v>
      </c>
      <c r="C34" s="134"/>
      <c r="D34" s="135"/>
      <c r="E34" s="136"/>
      <c r="F34" s="137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</row>
    <row r="35" spans="1:31" ht="16.5" thickTop="1" thickBot="1" x14ac:dyDescent="0.3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</row>
    <row r="36" spans="1:31" ht="15.75" thickTop="1" x14ac:dyDescent="0.25">
      <c r="A36" s="71" t="str">
        <f>+A2</f>
        <v>Option 3:  600 MW in 2027 and 600 MW in 2029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</row>
    <row r="37" spans="1:31" x14ac:dyDescent="0.25">
      <c r="A37" s="73" t="s">
        <v>72</v>
      </c>
      <c r="B37" s="74" t="str">
        <f>+Overview!D8</f>
        <v>High DER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</row>
    <row r="38" spans="1:31" x14ac:dyDescent="0.25">
      <c r="A38" s="2" t="s">
        <v>34</v>
      </c>
      <c r="B38" s="1">
        <v>0</v>
      </c>
      <c r="C38" s="1">
        <f>+B38+1</f>
        <v>1</v>
      </c>
      <c r="D38" s="1">
        <f t="shared" ref="D38:AE38" si="14">+C38+1</f>
        <v>2</v>
      </c>
      <c r="E38" s="1">
        <f t="shared" si="14"/>
        <v>3</v>
      </c>
      <c r="F38" s="1">
        <f t="shared" si="14"/>
        <v>4</v>
      </c>
      <c r="G38" s="1">
        <f t="shared" si="14"/>
        <v>5</v>
      </c>
      <c r="H38" s="8">
        <f t="shared" si="14"/>
        <v>6</v>
      </c>
      <c r="I38" s="1">
        <f t="shared" si="14"/>
        <v>7</v>
      </c>
      <c r="J38" s="1">
        <f t="shared" si="14"/>
        <v>8</v>
      </c>
      <c r="K38" s="1">
        <f t="shared" si="14"/>
        <v>9</v>
      </c>
      <c r="L38" s="1">
        <f t="shared" si="14"/>
        <v>10</v>
      </c>
      <c r="M38" s="1">
        <f t="shared" si="14"/>
        <v>11</v>
      </c>
      <c r="N38" s="1">
        <f t="shared" si="14"/>
        <v>12</v>
      </c>
      <c r="O38" s="1">
        <f t="shared" si="14"/>
        <v>13</v>
      </c>
      <c r="P38" s="1">
        <f t="shared" si="14"/>
        <v>14</v>
      </c>
      <c r="Q38" s="1">
        <f t="shared" si="14"/>
        <v>15</v>
      </c>
      <c r="R38" s="1">
        <f t="shared" si="14"/>
        <v>16</v>
      </c>
      <c r="S38" s="1">
        <f t="shared" si="14"/>
        <v>17</v>
      </c>
      <c r="T38" s="1">
        <f t="shared" si="14"/>
        <v>18</v>
      </c>
      <c r="U38" s="1">
        <f t="shared" si="14"/>
        <v>19</v>
      </c>
      <c r="V38" s="1">
        <f t="shared" si="14"/>
        <v>20</v>
      </c>
      <c r="W38" s="1">
        <f t="shared" si="14"/>
        <v>21</v>
      </c>
      <c r="X38" s="1">
        <f t="shared" si="14"/>
        <v>22</v>
      </c>
      <c r="Y38" s="1">
        <f t="shared" si="14"/>
        <v>23</v>
      </c>
      <c r="Z38" s="1">
        <f t="shared" si="14"/>
        <v>24</v>
      </c>
      <c r="AA38" s="1">
        <f t="shared" si="14"/>
        <v>25</v>
      </c>
      <c r="AB38" s="1">
        <f t="shared" si="14"/>
        <v>26</v>
      </c>
      <c r="AC38" s="1">
        <f t="shared" si="14"/>
        <v>27</v>
      </c>
      <c r="AD38" s="1">
        <f t="shared" si="14"/>
        <v>28</v>
      </c>
      <c r="AE38" s="1">
        <f t="shared" si="14"/>
        <v>29</v>
      </c>
    </row>
    <row r="39" spans="1:31" x14ac:dyDescent="0.25">
      <c r="A39" t="s">
        <v>35</v>
      </c>
      <c r="B39" s="4">
        <v>1</v>
      </c>
      <c r="C39" s="4">
        <f t="shared" ref="C39:AE39" si="15">1/((1+NotSlowWACC)^((C40-$B$10)/365))</f>
        <v>0.95419847328244267</v>
      </c>
      <c r="D39" s="4">
        <f t="shared" si="15"/>
        <v>0.91049472641454443</v>
      </c>
      <c r="E39" s="4">
        <f t="shared" si="15"/>
        <v>0.86879267787647374</v>
      </c>
      <c r="F39" s="4">
        <f t="shared" si="15"/>
        <v>0.82889417004246191</v>
      </c>
      <c r="G39" s="4">
        <f t="shared" si="15"/>
        <v>0.79092955156723455</v>
      </c>
      <c r="H39" s="4">
        <f t="shared" si="15"/>
        <v>0.75470377057942228</v>
      </c>
      <c r="I39" s="4">
        <f t="shared" si="15"/>
        <v>0.7201371856673876</v>
      </c>
      <c r="J39" s="4">
        <f t="shared" si="15"/>
        <v>0.68706554513038165</v>
      </c>
      <c r="K39" s="4">
        <f t="shared" si="15"/>
        <v>0.65559689420837941</v>
      </c>
      <c r="L39" s="4">
        <f t="shared" si="15"/>
        <v>0.62556955554234672</v>
      </c>
      <c r="M39" s="4">
        <f t="shared" si="15"/>
        <v>0.5969175148304835</v>
      </c>
      <c r="N39" s="4">
        <f t="shared" si="15"/>
        <v>0.56950462479561925</v>
      </c>
      <c r="O39" s="4">
        <f t="shared" si="15"/>
        <v>0.54342044350727026</v>
      </c>
      <c r="P39" s="4">
        <f t="shared" si="15"/>
        <v>0.51853095754510525</v>
      </c>
      <c r="Q39" s="4">
        <f t="shared" si="15"/>
        <v>0.49478144803922253</v>
      </c>
      <c r="R39" s="4">
        <f t="shared" si="15"/>
        <v>0.47205906330530845</v>
      </c>
      <c r="S39" s="4">
        <f t="shared" si="15"/>
        <v>0.45043803750506534</v>
      </c>
      <c r="T39" s="4">
        <f t="shared" si="15"/>
        <v>0.429807287695673</v>
      </c>
      <c r="U39" s="4">
        <f t="shared" si="15"/>
        <v>0.41012145772487879</v>
      </c>
      <c r="V39" s="4">
        <f t="shared" si="15"/>
        <v>0.39128700548947559</v>
      </c>
      <c r="W39" s="4">
        <f t="shared" si="15"/>
        <v>0.37336546325331643</v>
      </c>
      <c r="X39" s="4">
        <f t="shared" si="15"/>
        <v>0.35626475501270649</v>
      </c>
      <c r="Y39" s="4">
        <f t="shared" si="15"/>
        <v>0.33994728531746798</v>
      </c>
      <c r="Z39" s="4">
        <f t="shared" si="15"/>
        <v>0.32433551766359908</v>
      </c>
      <c r="AA39" s="4">
        <f t="shared" si="15"/>
        <v>0.30948045578587696</v>
      </c>
      <c r="AB39" s="4">
        <f t="shared" si="15"/>
        <v>0.29530577842163835</v>
      </c>
      <c r="AC39" s="4">
        <f t="shared" si="15"/>
        <v>0.28178032292141064</v>
      </c>
      <c r="AD39" s="4">
        <f t="shared" si="15"/>
        <v>0.26883981972906118</v>
      </c>
      <c r="AE39" s="4">
        <f t="shared" si="15"/>
        <v>0.25652654554299731</v>
      </c>
    </row>
    <row r="40" spans="1:31" x14ac:dyDescent="0.25">
      <c r="A40" s="5" t="s">
        <v>70</v>
      </c>
      <c r="B40" s="6">
        <f>+B25</f>
        <v>44013</v>
      </c>
      <c r="C40" s="6">
        <f>EDATE(B40,12)</f>
        <v>44378</v>
      </c>
      <c r="D40" s="6">
        <f t="shared" ref="D40:AE40" si="16">EDATE(C40,12)</f>
        <v>44743</v>
      </c>
      <c r="E40" s="6">
        <f t="shared" si="16"/>
        <v>45108</v>
      </c>
      <c r="F40" s="6">
        <f t="shared" si="16"/>
        <v>45474</v>
      </c>
      <c r="G40" s="6">
        <f t="shared" si="16"/>
        <v>45839</v>
      </c>
      <c r="H40" s="6">
        <f t="shared" si="16"/>
        <v>46204</v>
      </c>
      <c r="I40" s="6">
        <f t="shared" si="16"/>
        <v>46569</v>
      </c>
      <c r="J40" s="6">
        <f t="shared" si="16"/>
        <v>46935</v>
      </c>
      <c r="K40" s="6">
        <f t="shared" si="16"/>
        <v>47300</v>
      </c>
      <c r="L40" s="6">
        <f t="shared" si="16"/>
        <v>47665</v>
      </c>
      <c r="M40" s="6">
        <f t="shared" si="16"/>
        <v>48030</v>
      </c>
      <c r="N40" s="6">
        <f t="shared" si="16"/>
        <v>48396</v>
      </c>
      <c r="O40" s="6">
        <f t="shared" si="16"/>
        <v>48761</v>
      </c>
      <c r="P40" s="6">
        <f t="shared" si="16"/>
        <v>49126</v>
      </c>
      <c r="Q40" s="6">
        <f t="shared" si="16"/>
        <v>49491</v>
      </c>
      <c r="R40" s="6">
        <f t="shared" si="16"/>
        <v>49857</v>
      </c>
      <c r="S40" s="6">
        <f t="shared" si="16"/>
        <v>50222</v>
      </c>
      <c r="T40" s="6">
        <f t="shared" si="16"/>
        <v>50587</v>
      </c>
      <c r="U40" s="6">
        <f t="shared" si="16"/>
        <v>50952</v>
      </c>
      <c r="V40" s="6">
        <f t="shared" si="16"/>
        <v>51318</v>
      </c>
      <c r="W40" s="6">
        <f t="shared" si="16"/>
        <v>51683</v>
      </c>
      <c r="X40" s="6">
        <f t="shared" si="16"/>
        <v>52048</v>
      </c>
      <c r="Y40" s="6">
        <f t="shared" si="16"/>
        <v>52413</v>
      </c>
      <c r="Z40" s="6">
        <f t="shared" si="16"/>
        <v>52779</v>
      </c>
      <c r="AA40" s="6">
        <f t="shared" si="16"/>
        <v>53144</v>
      </c>
      <c r="AB40" s="6">
        <f t="shared" si="16"/>
        <v>53509</v>
      </c>
      <c r="AC40" s="6">
        <f t="shared" si="16"/>
        <v>53874</v>
      </c>
      <c r="AD40" s="6">
        <f t="shared" si="16"/>
        <v>54240</v>
      </c>
      <c r="AE40" s="6">
        <f t="shared" si="16"/>
        <v>54605</v>
      </c>
    </row>
    <row r="41" spans="1:31" x14ac:dyDescent="0.25">
      <c r="A41" s="179" t="s">
        <v>39</v>
      </c>
      <c r="B41" s="180" t="str">
        <f>+B26</f>
        <v>2020-21</v>
      </c>
      <c r="C41" s="180" t="str">
        <f t="shared" ref="C41:AE41" si="17">+C26</f>
        <v>2021-22</v>
      </c>
      <c r="D41" s="180" t="str">
        <f t="shared" si="17"/>
        <v>2022-23</v>
      </c>
      <c r="E41" s="180" t="str">
        <f t="shared" si="17"/>
        <v>2023-24</v>
      </c>
      <c r="F41" s="180" t="str">
        <f t="shared" si="17"/>
        <v>2024-25</v>
      </c>
      <c r="G41" s="180" t="str">
        <f t="shared" si="17"/>
        <v>2025-26</v>
      </c>
      <c r="H41" s="180" t="str">
        <f t="shared" si="17"/>
        <v>2026-27</v>
      </c>
      <c r="I41" s="180" t="str">
        <f t="shared" si="17"/>
        <v>2027-28</v>
      </c>
      <c r="J41" s="180" t="str">
        <f t="shared" si="17"/>
        <v>2028-29</v>
      </c>
      <c r="K41" s="180" t="str">
        <f t="shared" si="17"/>
        <v>2029-30</v>
      </c>
      <c r="L41" s="180" t="str">
        <f t="shared" si="17"/>
        <v>2030-31</v>
      </c>
      <c r="M41" s="180" t="str">
        <f t="shared" si="17"/>
        <v>2031-32</v>
      </c>
      <c r="N41" s="180" t="str">
        <f t="shared" si="17"/>
        <v>2032-33</v>
      </c>
      <c r="O41" s="180" t="str">
        <f t="shared" si="17"/>
        <v>2033-34</v>
      </c>
      <c r="P41" s="180" t="str">
        <f t="shared" si="17"/>
        <v>2034-35</v>
      </c>
      <c r="Q41" s="180" t="str">
        <f t="shared" si="17"/>
        <v>2035-36</v>
      </c>
      <c r="R41" s="180" t="str">
        <f t="shared" si="17"/>
        <v>2036-37</v>
      </c>
      <c r="S41" s="180" t="str">
        <f t="shared" si="17"/>
        <v>2037-38</v>
      </c>
      <c r="T41" s="180" t="str">
        <f t="shared" si="17"/>
        <v>2038-39</v>
      </c>
      <c r="U41" s="180" t="str">
        <f t="shared" si="17"/>
        <v>2039-40</v>
      </c>
      <c r="V41" s="180" t="str">
        <f t="shared" si="17"/>
        <v>2040-41</v>
      </c>
      <c r="W41" s="180" t="str">
        <f t="shared" si="17"/>
        <v>2041-42</v>
      </c>
      <c r="X41" s="180" t="str">
        <f t="shared" si="17"/>
        <v>2042-43</v>
      </c>
      <c r="Y41" s="180" t="str">
        <f t="shared" si="17"/>
        <v>2043-44</v>
      </c>
      <c r="Z41" s="180" t="str">
        <f t="shared" si="17"/>
        <v>2044-45</v>
      </c>
      <c r="AA41" s="180" t="str">
        <f t="shared" si="17"/>
        <v>2045-46</v>
      </c>
      <c r="AB41" s="180" t="str">
        <f t="shared" si="17"/>
        <v>2046-47</v>
      </c>
      <c r="AC41" s="180" t="str">
        <f t="shared" si="17"/>
        <v>2047-48</v>
      </c>
      <c r="AD41" s="180" t="str">
        <f t="shared" si="17"/>
        <v>2048-49</v>
      </c>
      <c r="AE41" s="180" t="str">
        <f t="shared" si="17"/>
        <v>2049-50</v>
      </c>
    </row>
    <row r="42" spans="1:31" x14ac:dyDescent="0.25">
      <c r="A42" s="52" t="str">
        <f>+A27</f>
        <v>Market benefits (PV at 2020)</v>
      </c>
      <c r="B42" s="77">
        <v>0</v>
      </c>
      <c r="C42" s="77">
        <v>-0.39887808162771526</v>
      </c>
      <c r="D42" s="77">
        <v>-1.7033070232455725</v>
      </c>
      <c r="E42" s="77">
        <v>-2.7423169365000413</v>
      </c>
      <c r="F42" s="77">
        <v>6.0822423924885571</v>
      </c>
      <c r="G42" s="77">
        <v>82.464608488215063</v>
      </c>
      <c r="H42" s="77">
        <v>-31.357129756240326</v>
      </c>
      <c r="I42" s="77">
        <v>23.525812462639674</v>
      </c>
      <c r="J42" s="77">
        <v>53.124801775669603</v>
      </c>
      <c r="K42" s="77">
        <v>65.601794113138865</v>
      </c>
      <c r="L42" s="77">
        <v>52.224752298554087</v>
      </c>
      <c r="M42" s="77">
        <v>58.430841750718692</v>
      </c>
      <c r="N42" s="77">
        <v>118.52461663498917</v>
      </c>
      <c r="O42" s="77">
        <v>123.95959836597812</v>
      </c>
      <c r="P42" s="77">
        <v>123.2480247701637</v>
      </c>
      <c r="Q42" s="77">
        <v>126.20660605838147</v>
      </c>
      <c r="R42" s="77">
        <v>135.53191119625475</v>
      </c>
      <c r="S42" s="77">
        <v>195.11774222362462</v>
      </c>
      <c r="T42" s="77">
        <v>179.09146866886672</v>
      </c>
      <c r="U42" s="77">
        <v>185.42852949867057</v>
      </c>
      <c r="V42" s="77">
        <v>184.5976489557691</v>
      </c>
      <c r="W42" s="77">
        <v>178.89702678462339</v>
      </c>
      <c r="X42" s="77">
        <v>194.14290231385226</v>
      </c>
      <c r="Y42" s="77">
        <v>181.81608132245853</v>
      </c>
      <c r="Z42" s="77">
        <v>165.70538257611068</v>
      </c>
      <c r="AA42" s="77">
        <v>170.23401473680508</v>
      </c>
      <c r="AB42" s="77">
        <v>181.35810725273231</v>
      </c>
      <c r="AC42" s="77">
        <v>178.83242176418699</v>
      </c>
      <c r="AD42" s="77">
        <v>173.25051245816076</v>
      </c>
      <c r="AE42" s="77">
        <v>160.49154326579895</v>
      </c>
    </row>
    <row r="43" spans="1:31" x14ac:dyDescent="0.25">
      <c r="A43" s="48" t="s">
        <v>42</v>
      </c>
      <c r="B43" s="49">
        <f t="shared" ref="B43:AE43" si="18">+B42/B39</f>
        <v>0</v>
      </c>
      <c r="C43" s="49">
        <f t="shared" si="18"/>
        <v>-0.41802422954584562</v>
      </c>
      <c r="D43" s="49">
        <f t="shared" si="18"/>
        <v>-1.8707489168587057</v>
      </c>
      <c r="E43" s="49">
        <f t="shared" si="18"/>
        <v>-3.1564687483357772</v>
      </c>
      <c r="F43" s="49">
        <f t="shared" si="18"/>
        <v>7.33777919101178</v>
      </c>
      <c r="G43" s="49">
        <f t="shared" si="18"/>
        <v>104.2628996790051</v>
      </c>
      <c r="H43" s="49">
        <f t="shared" si="18"/>
        <v>-41.548924198650752</v>
      </c>
      <c r="I43" s="49">
        <f t="shared" si="18"/>
        <v>32.668515014728911</v>
      </c>
      <c r="J43" s="49">
        <f t="shared" si="18"/>
        <v>77.321300932923833</v>
      </c>
      <c r="K43" s="49">
        <f t="shared" si="18"/>
        <v>100.06422344686634</v>
      </c>
      <c r="L43" s="49">
        <f t="shared" si="18"/>
        <v>83.483526069738275</v>
      </c>
      <c r="M43" s="49">
        <f t="shared" si="18"/>
        <v>97.887631538693014</v>
      </c>
      <c r="N43" s="49">
        <f t="shared" si="18"/>
        <v>208.11879565951662</v>
      </c>
      <c r="O43" s="49">
        <f t="shared" si="18"/>
        <v>228.10992822782845</v>
      </c>
      <c r="P43" s="49">
        <f t="shared" si="18"/>
        <v>237.68691719711404</v>
      </c>
      <c r="Q43" s="49">
        <f t="shared" si="18"/>
        <v>255.07546121328454</v>
      </c>
      <c r="R43" s="49">
        <f t="shared" si="18"/>
        <v>287.10795265167542</v>
      </c>
      <c r="S43" s="49">
        <f t="shared" si="18"/>
        <v>433.17332458058775</v>
      </c>
      <c r="T43" s="49">
        <f t="shared" si="18"/>
        <v>416.67852964762488</v>
      </c>
      <c r="U43" s="49">
        <f t="shared" si="18"/>
        <v>452.13076762021393</v>
      </c>
      <c r="V43" s="49">
        <f t="shared" si="18"/>
        <v>471.77045586997957</v>
      </c>
      <c r="W43" s="49">
        <f t="shared" si="18"/>
        <v>479.14722809604785</v>
      </c>
      <c r="X43" s="49">
        <f t="shared" si="18"/>
        <v>544.93996271657011</v>
      </c>
      <c r="Y43" s="49">
        <f t="shared" si="18"/>
        <v>534.8361030524635</v>
      </c>
      <c r="Z43" s="49">
        <f t="shared" si="18"/>
        <v>510.90729677031658</v>
      </c>
      <c r="AA43" s="49">
        <f t="shared" si="18"/>
        <v>550.06386204428509</v>
      </c>
      <c r="AB43" s="49">
        <f t="shared" si="18"/>
        <v>614.13666952967219</v>
      </c>
      <c r="AC43" s="49">
        <f t="shared" si="18"/>
        <v>634.65191575518168</v>
      </c>
      <c r="AD43" s="49">
        <f t="shared" si="18"/>
        <v>644.43769019323088</v>
      </c>
      <c r="AE43" s="49">
        <f t="shared" si="18"/>
        <v>625.63327676705649</v>
      </c>
    </row>
    <row r="44" spans="1:31" x14ac:dyDescent="0.25">
      <c r="A44" s="50" t="s">
        <v>40</v>
      </c>
      <c r="B44" s="51">
        <f t="shared" ref="B44:H44" si="19">+B29</f>
        <v>0</v>
      </c>
      <c r="C44" s="51">
        <f t="shared" si="19"/>
        <v>0</v>
      </c>
      <c r="D44" s="51">
        <f t="shared" si="19"/>
        <v>0</v>
      </c>
      <c r="E44" s="51">
        <f t="shared" si="19"/>
        <v>0</v>
      </c>
      <c r="F44" s="51">
        <f t="shared" si="19"/>
        <v>0</v>
      </c>
      <c r="G44" s="51">
        <f t="shared" si="19"/>
        <v>0</v>
      </c>
      <c r="H44" s="51">
        <f t="shared" si="19"/>
        <v>0</v>
      </c>
      <c r="I44" s="51">
        <f>+I29</f>
        <v>15.788363499540408</v>
      </c>
      <c r="J44" s="51">
        <f t="shared" ref="J44:AE44" si="20">+J29</f>
        <v>15.876122651112929</v>
      </c>
      <c r="K44" s="51">
        <f t="shared" si="20"/>
        <v>15.961779131322926</v>
      </c>
      <c r="L44" s="51">
        <f t="shared" si="20"/>
        <v>16.048292176335021</v>
      </c>
      <c r="M44" s="51">
        <f t="shared" si="20"/>
        <v>16.135670351797238</v>
      </c>
      <c r="N44" s="51">
        <f t="shared" si="20"/>
        <v>16.223922309014075</v>
      </c>
      <c r="O44" s="51">
        <f t="shared" si="20"/>
        <v>16.313056785803084</v>
      </c>
      <c r="P44" s="51">
        <f t="shared" si="20"/>
        <v>16.40308260735998</v>
      </c>
      <c r="Q44" s="51">
        <f t="shared" si="20"/>
        <v>16.49400868713245</v>
      </c>
      <c r="R44" s="51">
        <f t="shared" si="20"/>
        <v>16.585844027702642</v>
      </c>
      <c r="S44" s="51">
        <f t="shared" si="20"/>
        <v>16.678597721678535</v>
      </c>
      <c r="T44" s="51">
        <f t="shared" si="20"/>
        <v>16.772278952594188</v>
      </c>
      <c r="U44" s="51">
        <f t="shared" si="20"/>
        <v>16.866896995818998</v>
      </c>
      <c r="V44" s="51">
        <f t="shared" si="20"/>
        <v>16.962461219476054</v>
      </c>
      <c r="W44" s="51">
        <f t="shared" si="20"/>
        <v>17.058981085369684</v>
      </c>
      <c r="X44" s="51">
        <f t="shared" si="20"/>
        <v>17.156466149922252</v>
      </c>
      <c r="Y44" s="51">
        <f t="shared" si="20"/>
        <v>17.25492606512034</v>
      </c>
      <c r="Z44" s="51">
        <f t="shared" si="20"/>
        <v>17.354370579470412</v>
      </c>
      <c r="AA44" s="51">
        <f t="shared" si="20"/>
        <v>17.454809538963978</v>
      </c>
      <c r="AB44" s="51">
        <f t="shared" si="20"/>
        <v>17.556252888052487</v>
      </c>
      <c r="AC44" s="51">
        <f t="shared" si="20"/>
        <v>17.658710670631876</v>
      </c>
      <c r="AD44" s="51">
        <f t="shared" si="20"/>
        <v>17.762193031037071</v>
      </c>
      <c r="AE44" s="51">
        <f t="shared" si="20"/>
        <v>17.866710215046304</v>
      </c>
    </row>
    <row r="45" spans="1:31" x14ac:dyDescent="0.25">
      <c r="A45" s="46" t="s">
        <v>41</v>
      </c>
      <c r="B45" s="47">
        <f>+B44+B43</f>
        <v>0</v>
      </c>
      <c r="C45" s="47">
        <f t="shared" ref="C45:AE45" si="21">+C44+C43</f>
        <v>-0.41802422954584562</v>
      </c>
      <c r="D45" s="47">
        <f t="shared" si="21"/>
        <v>-1.8707489168587057</v>
      </c>
      <c r="E45" s="47">
        <f t="shared" si="21"/>
        <v>-3.1564687483357772</v>
      </c>
      <c r="F45" s="47">
        <f t="shared" si="21"/>
        <v>7.33777919101178</v>
      </c>
      <c r="G45" s="47">
        <f t="shared" si="21"/>
        <v>104.2628996790051</v>
      </c>
      <c r="H45" s="47">
        <f t="shared" si="21"/>
        <v>-41.548924198650752</v>
      </c>
      <c r="I45" s="47">
        <f t="shared" si="21"/>
        <v>48.45687851426932</v>
      </c>
      <c r="J45" s="47">
        <f t="shared" si="21"/>
        <v>93.197423584036756</v>
      </c>
      <c r="K45" s="47">
        <f t="shared" si="21"/>
        <v>116.02600257818926</v>
      </c>
      <c r="L45" s="47">
        <f t="shared" si="21"/>
        <v>99.5318182460733</v>
      </c>
      <c r="M45" s="47">
        <f t="shared" si="21"/>
        <v>114.02330189049025</v>
      </c>
      <c r="N45" s="47">
        <f t="shared" si="21"/>
        <v>224.34271796853071</v>
      </c>
      <c r="O45" s="47">
        <f t="shared" si="21"/>
        <v>244.42298501363155</v>
      </c>
      <c r="P45" s="47">
        <f t="shared" si="21"/>
        <v>254.08999980447402</v>
      </c>
      <c r="Q45" s="47">
        <f t="shared" si="21"/>
        <v>271.569469900417</v>
      </c>
      <c r="R45" s="47">
        <f t="shared" si="21"/>
        <v>303.69379667937807</v>
      </c>
      <c r="S45" s="47">
        <f t="shared" si="21"/>
        <v>449.8519223022663</v>
      </c>
      <c r="T45" s="47">
        <f t="shared" si="21"/>
        <v>433.45080860021909</v>
      </c>
      <c r="U45" s="47">
        <f t="shared" si="21"/>
        <v>468.99766461603292</v>
      </c>
      <c r="V45" s="47">
        <f t="shared" si="21"/>
        <v>488.73291708945561</v>
      </c>
      <c r="W45" s="47">
        <f t="shared" si="21"/>
        <v>496.20620918141753</v>
      </c>
      <c r="X45" s="47">
        <f t="shared" si="21"/>
        <v>562.09642886649237</v>
      </c>
      <c r="Y45" s="47">
        <f t="shared" si="21"/>
        <v>552.09102911758384</v>
      </c>
      <c r="Z45" s="47">
        <f t="shared" si="21"/>
        <v>528.26166734978699</v>
      </c>
      <c r="AA45" s="47">
        <f t="shared" si="21"/>
        <v>567.5186715832491</v>
      </c>
      <c r="AB45" s="47">
        <f t="shared" si="21"/>
        <v>631.69292241772473</v>
      </c>
      <c r="AC45" s="47">
        <f t="shared" si="21"/>
        <v>652.31062642581355</v>
      </c>
      <c r="AD45" s="47">
        <f t="shared" si="21"/>
        <v>662.19988322426798</v>
      </c>
      <c r="AE45" s="47">
        <f t="shared" si="21"/>
        <v>643.49998698210277</v>
      </c>
    </row>
    <row r="46" spans="1:31" x14ac:dyDescent="0.25">
      <c r="A46" s="53" t="s">
        <v>67</v>
      </c>
      <c r="B46" s="181">
        <v>0</v>
      </c>
      <c r="C46" s="181">
        <v>0</v>
      </c>
      <c r="D46" s="181">
        <v>0</v>
      </c>
      <c r="E46" s="181">
        <v>0</v>
      </c>
      <c r="F46" s="181">
        <v>0</v>
      </c>
      <c r="G46" s="181">
        <v>0</v>
      </c>
      <c r="H46" s="181">
        <v>0</v>
      </c>
      <c r="I46" s="181">
        <f>+I31</f>
        <v>129.84885751784327</v>
      </c>
      <c r="J46" s="181">
        <f>+J31</f>
        <v>129.84885751784327</v>
      </c>
      <c r="K46" s="181">
        <f t="shared" ref="K46:AE46" si="22">+K31</f>
        <v>210.52983369844401</v>
      </c>
      <c r="L46" s="181">
        <f t="shared" si="22"/>
        <v>210.52983369844401</v>
      </c>
      <c r="M46" s="181">
        <f t="shared" si="22"/>
        <v>210.52983369844401</v>
      </c>
      <c r="N46" s="181">
        <f t="shared" si="22"/>
        <v>210.52983369844401</v>
      </c>
      <c r="O46" s="181">
        <f t="shared" si="22"/>
        <v>210.52983369844401</v>
      </c>
      <c r="P46" s="181">
        <f t="shared" si="22"/>
        <v>210.52983369844401</v>
      </c>
      <c r="Q46" s="181">
        <f t="shared" si="22"/>
        <v>210.52983369844401</v>
      </c>
      <c r="R46" s="181">
        <f t="shared" si="22"/>
        <v>210.52983369844401</v>
      </c>
      <c r="S46" s="181">
        <f t="shared" si="22"/>
        <v>210.52983369844401</v>
      </c>
      <c r="T46" s="181">
        <f t="shared" si="22"/>
        <v>210.52983369844401</v>
      </c>
      <c r="U46" s="181">
        <f t="shared" si="22"/>
        <v>210.52983369844401</v>
      </c>
      <c r="V46" s="181">
        <f t="shared" si="22"/>
        <v>210.52983369844401</v>
      </c>
      <c r="W46" s="181">
        <f t="shared" si="22"/>
        <v>210.52983369844401</v>
      </c>
      <c r="X46" s="181">
        <f t="shared" si="22"/>
        <v>210.52983369844401</v>
      </c>
      <c r="Y46" s="181">
        <f t="shared" si="22"/>
        <v>210.52983369844401</v>
      </c>
      <c r="Z46" s="181">
        <f t="shared" si="22"/>
        <v>210.52983369844401</v>
      </c>
      <c r="AA46" s="181">
        <f t="shared" si="22"/>
        <v>210.52983369844401</v>
      </c>
      <c r="AB46" s="181">
        <f t="shared" si="22"/>
        <v>210.52983369844401</v>
      </c>
      <c r="AC46" s="181">
        <f t="shared" si="22"/>
        <v>210.52983369844401</v>
      </c>
      <c r="AD46" s="181">
        <f t="shared" si="22"/>
        <v>210.52983369844401</v>
      </c>
      <c r="AE46" s="181">
        <f t="shared" si="22"/>
        <v>210.52983369844401</v>
      </c>
    </row>
    <row r="47" spans="1:31" x14ac:dyDescent="0.25">
      <c r="A47" t="s">
        <v>68</v>
      </c>
      <c r="B47" s="43">
        <f>XNPV(NotSlowWACC,B45:AE45,$B$10:$AE$10)</f>
        <v>3433.8737508690811</v>
      </c>
      <c r="C47" s="134"/>
      <c r="D47" s="135"/>
      <c r="E47" s="136"/>
      <c r="F47" s="137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</row>
    <row r="48" spans="1:31" x14ac:dyDescent="0.25">
      <c r="A48" t="s">
        <v>69</v>
      </c>
      <c r="B48" s="43">
        <f>XNPV(NotSlowWACC,B46:AE46,$B$10:$AE$10)</f>
        <v>2069.8878818125322</v>
      </c>
      <c r="C48" s="134"/>
      <c r="D48" s="135"/>
      <c r="E48" s="136"/>
      <c r="F48" s="137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</row>
    <row r="49" spans="1:31" ht="15.75" thickBot="1" x14ac:dyDescent="0.3">
      <c r="A49" s="1" t="s">
        <v>119</v>
      </c>
      <c r="B49" s="68">
        <f>+B47-B48</f>
        <v>1363.9858690565488</v>
      </c>
      <c r="C49" s="134"/>
      <c r="D49" s="135"/>
      <c r="E49" s="136"/>
      <c r="F49" s="137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</row>
    <row r="50" spans="1:31" ht="16.5" thickTop="1" thickBot="1" x14ac:dyDescent="0.3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</row>
    <row r="51" spans="1:31" ht="15.75" thickTop="1" x14ac:dyDescent="0.25">
      <c r="A51" s="71" t="str">
        <f>+A2</f>
        <v>Option 3:  600 MW in 2027 and 600 MW in 2029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</row>
    <row r="52" spans="1:31" x14ac:dyDescent="0.25">
      <c r="A52" s="73" t="s">
        <v>72</v>
      </c>
      <c r="B52" s="74" t="str">
        <f>+Overview!D9</f>
        <v xml:space="preserve">Fast Change 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</row>
    <row r="53" spans="1:31" x14ac:dyDescent="0.25">
      <c r="A53" s="2" t="s">
        <v>34</v>
      </c>
      <c r="B53" s="1">
        <v>0</v>
      </c>
      <c r="C53" s="1">
        <f>+B53+1</f>
        <v>1</v>
      </c>
      <c r="D53" s="1">
        <f t="shared" ref="D53:AE53" si="23">+C53+1</f>
        <v>2</v>
      </c>
      <c r="E53" s="1">
        <f t="shared" si="23"/>
        <v>3</v>
      </c>
      <c r="F53" s="1">
        <f t="shared" si="23"/>
        <v>4</v>
      </c>
      <c r="G53" s="1">
        <f t="shared" si="23"/>
        <v>5</v>
      </c>
      <c r="H53" s="8">
        <f t="shared" si="23"/>
        <v>6</v>
      </c>
      <c r="I53" s="1">
        <f t="shared" si="23"/>
        <v>7</v>
      </c>
      <c r="J53" s="1">
        <f t="shared" si="23"/>
        <v>8</v>
      </c>
      <c r="K53" s="1">
        <f t="shared" si="23"/>
        <v>9</v>
      </c>
      <c r="L53" s="1">
        <f t="shared" si="23"/>
        <v>10</v>
      </c>
      <c r="M53" s="1">
        <f t="shared" si="23"/>
        <v>11</v>
      </c>
      <c r="N53" s="1">
        <f t="shared" si="23"/>
        <v>12</v>
      </c>
      <c r="O53" s="1">
        <f t="shared" si="23"/>
        <v>13</v>
      </c>
      <c r="P53" s="1">
        <f t="shared" si="23"/>
        <v>14</v>
      </c>
      <c r="Q53" s="1">
        <f t="shared" si="23"/>
        <v>15</v>
      </c>
      <c r="R53" s="1">
        <f t="shared" si="23"/>
        <v>16</v>
      </c>
      <c r="S53" s="1">
        <f t="shared" si="23"/>
        <v>17</v>
      </c>
      <c r="T53" s="1">
        <f t="shared" si="23"/>
        <v>18</v>
      </c>
      <c r="U53" s="1">
        <f t="shared" si="23"/>
        <v>19</v>
      </c>
      <c r="V53" s="1">
        <f t="shared" si="23"/>
        <v>20</v>
      </c>
      <c r="W53" s="1">
        <f t="shared" si="23"/>
        <v>21</v>
      </c>
      <c r="X53" s="1">
        <f t="shared" si="23"/>
        <v>22</v>
      </c>
      <c r="Y53" s="1">
        <f t="shared" si="23"/>
        <v>23</v>
      </c>
      <c r="Z53" s="1">
        <f t="shared" si="23"/>
        <v>24</v>
      </c>
      <c r="AA53" s="1">
        <f t="shared" si="23"/>
        <v>25</v>
      </c>
      <c r="AB53" s="1">
        <f t="shared" si="23"/>
        <v>26</v>
      </c>
      <c r="AC53" s="1">
        <f t="shared" si="23"/>
        <v>27</v>
      </c>
      <c r="AD53" s="1">
        <f t="shared" si="23"/>
        <v>28</v>
      </c>
      <c r="AE53" s="1">
        <f t="shared" si="23"/>
        <v>29</v>
      </c>
    </row>
    <row r="54" spans="1:31" x14ac:dyDescent="0.25">
      <c r="A54" t="s">
        <v>35</v>
      </c>
      <c r="B54" s="4">
        <v>1</v>
      </c>
      <c r="C54" s="4">
        <f t="shared" ref="C54:AE54" si="24">1/((1+NotSlowWACC)^((C55-$B$10)/365))</f>
        <v>0.95419847328244267</v>
      </c>
      <c r="D54" s="4">
        <f t="shared" si="24"/>
        <v>0.91049472641454443</v>
      </c>
      <c r="E54" s="4">
        <f t="shared" si="24"/>
        <v>0.86879267787647374</v>
      </c>
      <c r="F54" s="4">
        <f t="shared" si="24"/>
        <v>0.82889417004246191</v>
      </c>
      <c r="G54" s="4">
        <f t="shared" si="24"/>
        <v>0.79092955156723455</v>
      </c>
      <c r="H54" s="4">
        <f t="shared" si="24"/>
        <v>0.75470377057942228</v>
      </c>
      <c r="I54" s="4">
        <f t="shared" si="24"/>
        <v>0.7201371856673876</v>
      </c>
      <c r="J54" s="4">
        <f t="shared" si="24"/>
        <v>0.68706554513038165</v>
      </c>
      <c r="K54" s="4">
        <f t="shared" si="24"/>
        <v>0.65559689420837941</v>
      </c>
      <c r="L54" s="4">
        <f t="shared" si="24"/>
        <v>0.62556955554234672</v>
      </c>
      <c r="M54" s="4">
        <f t="shared" si="24"/>
        <v>0.5969175148304835</v>
      </c>
      <c r="N54" s="4">
        <f t="shared" si="24"/>
        <v>0.56950462479561925</v>
      </c>
      <c r="O54" s="4">
        <f t="shared" si="24"/>
        <v>0.54342044350727026</v>
      </c>
      <c r="P54" s="4">
        <f t="shared" si="24"/>
        <v>0.51853095754510525</v>
      </c>
      <c r="Q54" s="4">
        <f t="shared" si="24"/>
        <v>0.49478144803922253</v>
      </c>
      <c r="R54" s="4">
        <f t="shared" si="24"/>
        <v>0.47205906330530845</v>
      </c>
      <c r="S54" s="4">
        <f t="shared" si="24"/>
        <v>0.45043803750506534</v>
      </c>
      <c r="T54" s="4">
        <f t="shared" si="24"/>
        <v>0.429807287695673</v>
      </c>
      <c r="U54" s="4">
        <f t="shared" si="24"/>
        <v>0.41012145772487879</v>
      </c>
      <c r="V54" s="4">
        <f t="shared" si="24"/>
        <v>0.39128700548947559</v>
      </c>
      <c r="W54" s="4">
        <f t="shared" si="24"/>
        <v>0.37336546325331643</v>
      </c>
      <c r="X54" s="4">
        <f t="shared" si="24"/>
        <v>0.35626475501270649</v>
      </c>
      <c r="Y54" s="4">
        <f t="shared" si="24"/>
        <v>0.33994728531746798</v>
      </c>
      <c r="Z54" s="4">
        <f t="shared" si="24"/>
        <v>0.32433551766359908</v>
      </c>
      <c r="AA54" s="4">
        <f t="shared" si="24"/>
        <v>0.30948045578587696</v>
      </c>
      <c r="AB54" s="4">
        <f t="shared" si="24"/>
        <v>0.29530577842163835</v>
      </c>
      <c r="AC54" s="4">
        <f t="shared" si="24"/>
        <v>0.28178032292141064</v>
      </c>
      <c r="AD54" s="4">
        <f t="shared" si="24"/>
        <v>0.26883981972906118</v>
      </c>
      <c r="AE54" s="4">
        <f t="shared" si="24"/>
        <v>0.25652654554299731</v>
      </c>
    </row>
    <row r="55" spans="1:31" x14ac:dyDescent="0.25">
      <c r="A55" s="5" t="s">
        <v>70</v>
      </c>
      <c r="B55" s="6">
        <f>+B40</f>
        <v>44013</v>
      </c>
      <c r="C55" s="6">
        <f t="shared" ref="C55:AE56" si="25">+C40</f>
        <v>44378</v>
      </c>
      <c r="D55" s="6">
        <f t="shared" si="25"/>
        <v>44743</v>
      </c>
      <c r="E55" s="6">
        <f t="shared" si="25"/>
        <v>45108</v>
      </c>
      <c r="F55" s="6">
        <f t="shared" si="25"/>
        <v>45474</v>
      </c>
      <c r="G55" s="6">
        <f t="shared" si="25"/>
        <v>45839</v>
      </c>
      <c r="H55" s="6">
        <f t="shared" si="25"/>
        <v>46204</v>
      </c>
      <c r="I55" s="6">
        <f t="shared" si="25"/>
        <v>46569</v>
      </c>
      <c r="J55" s="6">
        <f t="shared" si="25"/>
        <v>46935</v>
      </c>
      <c r="K55" s="6">
        <f t="shared" si="25"/>
        <v>47300</v>
      </c>
      <c r="L55" s="6">
        <f t="shared" si="25"/>
        <v>47665</v>
      </c>
      <c r="M55" s="6">
        <f t="shared" si="25"/>
        <v>48030</v>
      </c>
      <c r="N55" s="6">
        <f t="shared" si="25"/>
        <v>48396</v>
      </c>
      <c r="O55" s="6">
        <f t="shared" si="25"/>
        <v>48761</v>
      </c>
      <c r="P55" s="6">
        <f t="shared" si="25"/>
        <v>49126</v>
      </c>
      <c r="Q55" s="6">
        <f t="shared" si="25"/>
        <v>49491</v>
      </c>
      <c r="R55" s="6">
        <f t="shared" si="25"/>
        <v>49857</v>
      </c>
      <c r="S55" s="6">
        <f t="shared" si="25"/>
        <v>50222</v>
      </c>
      <c r="T55" s="6">
        <f t="shared" si="25"/>
        <v>50587</v>
      </c>
      <c r="U55" s="6">
        <f t="shared" si="25"/>
        <v>50952</v>
      </c>
      <c r="V55" s="6">
        <f t="shared" si="25"/>
        <v>51318</v>
      </c>
      <c r="W55" s="6">
        <f t="shared" si="25"/>
        <v>51683</v>
      </c>
      <c r="X55" s="6">
        <f t="shared" si="25"/>
        <v>52048</v>
      </c>
      <c r="Y55" s="6">
        <f t="shared" si="25"/>
        <v>52413</v>
      </c>
      <c r="Z55" s="6">
        <f t="shared" si="25"/>
        <v>52779</v>
      </c>
      <c r="AA55" s="6">
        <f t="shared" si="25"/>
        <v>53144</v>
      </c>
      <c r="AB55" s="6">
        <f t="shared" si="25"/>
        <v>53509</v>
      </c>
      <c r="AC55" s="6">
        <f t="shared" si="25"/>
        <v>53874</v>
      </c>
      <c r="AD55" s="6">
        <f t="shared" si="25"/>
        <v>54240</v>
      </c>
      <c r="AE55" s="6">
        <f t="shared" si="25"/>
        <v>54605</v>
      </c>
    </row>
    <row r="56" spans="1:31" x14ac:dyDescent="0.25">
      <c r="A56" s="179" t="s">
        <v>39</v>
      </c>
      <c r="B56" s="180" t="str">
        <f>+B41</f>
        <v>2020-21</v>
      </c>
      <c r="C56" s="180" t="str">
        <f t="shared" si="25"/>
        <v>2021-22</v>
      </c>
      <c r="D56" s="180" t="str">
        <f t="shared" si="25"/>
        <v>2022-23</v>
      </c>
      <c r="E56" s="180" t="str">
        <f t="shared" si="25"/>
        <v>2023-24</v>
      </c>
      <c r="F56" s="180" t="str">
        <f t="shared" si="25"/>
        <v>2024-25</v>
      </c>
      <c r="G56" s="180" t="str">
        <f t="shared" si="25"/>
        <v>2025-26</v>
      </c>
      <c r="H56" s="180" t="str">
        <f t="shared" si="25"/>
        <v>2026-27</v>
      </c>
      <c r="I56" s="180" t="str">
        <f t="shared" si="25"/>
        <v>2027-28</v>
      </c>
      <c r="J56" s="180" t="str">
        <f t="shared" si="25"/>
        <v>2028-29</v>
      </c>
      <c r="K56" s="180" t="str">
        <f t="shared" si="25"/>
        <v>2029-30</v>
      </c>
      <c r="L56" s="180" t="str">
        <f t="shared" si="25"/>
        <v>2030-31</v>
      </c>
      <c r="M56" s="180" t="str">
        <f t="shared" si="25"/>
        <v>2031-32</v>
      </c>
      <c r="N56" s="180" t="str">
        <f t="shared" si="25"/>
        <v>2032-33</v>
      </c>
      <c r="O56" s="180" t="str">
        <f t="shared" si="25"/>
        <v>2033-34</v>
      </c>
      <c r="P56" s="180" t="str">
        <f t="shared" si="25"/>
        <v>2034-35</v>
      </c>
      <c r="Q56" s="180" t="str">
        <f t="shared" si="25"/>
        <v>2035-36</v>
      </c>
      <c r="R56" s="180" t="str">
        <f t="shared" si="25"/>
        <v>2036-37</v>
      </c>
      <c r="S56" s="180" t="str">
        <f t="shared" si="25"/>
        <v>2037-38</v>
      </c>
      <c r="T56" s="180" t="str">
        <f t="shared" si="25"/>
        <v>2038-39</v>
      </c>
      <c r="U56" s="180" t="str">
        <f t="shared" si="25"/>
        <v>2039-40</v>
      </c>
      <c r="V56" s="180" t="str">
        <f t="shared" si="25"/>
        <v>2040-41</v>
      </c>
      <c r="W56" s="180" t="str">
        <f t="shared" si="25"/>
        <v>2041-42</v>
      </c>
      <c r="X56" s="180" t="str">
        <f t="shared" si="25"/>
        <v>2042-43</v>
      </c>
      <c r="Y56" s="180" t="str">
        <f t="shared" si="25"/>
        <v>2043-44</v>
      </c>
      <c r="Z56" s="180" t="str">
        <f t="shared" si="25"/>
        <v>2044-45</v>
      </c>
      <c r="AA56" s="180" t="str">
        <f t="shared" si="25"/>
        <v>2045-46</v>
      </c>
      <c r="AB56" s="180" t="str">
        <f t="shared" si="25"/>
        <v>2046-47</v>
      </c>
      <c r="AC56" s="180" t="str">
        <f t="shared" si="25"/>
        <v>2047-48</v>
      </c>
      <c r="AD56" s="180" t="str">
        <f t="shared" si="25"/>
        <v>2048-49</v>
      </c>
      <c r="AE56" s="180" t="str">
        <f t="shared" si="25"/>
        <v>2049-50</v>
      </c>
    </row>
    <row r="57" spans="1:31" x14ac:dyDescent="0.25">
      <c r="A57" s="52" t="str">
        <f>+A42</f>
        <v>Market benefits (PV at 2020)</v>
      </c>
      <c r="B57" s="77">
        <v>0</v>
      </c>
      <c r="C57" s="77">
        <v>1.070082133737807</v>
      </c>
      <c r="D57" s="77">
        <v>-0.24049404297060198</v>
      </c>
      <c r="E57" s="77">
        <v>-3.1241401457794535</v>
      </c>
      <c r="F57" s="77">
        <v>-4.2196068500362163</v>
      </c>
      <c r="G57" s="77">
        <v>85.769193737677639</v>
      </c>
      <c r="H57" s="77">
        <v>-37.647818139957359</v>
      </c>
      <c r="I57" s="77">
        <v>35.16092965449387</v>
      </c>
      <c r="J57" s="77">
        <v>64.42895124007552</v>
      </c>
      <c r="K57" s="77">
        <v>66.280321374048256</v>
      </c>
      <c r="L57" s="77">
        <v>61.347192430752678</v>
      </c>
      <c r="M57" s="77">
        <v>65.480695022158883</v>
      </c>
      <c r="N57" s="77">
        <v>130.91551343059589</v>
      </c>
      <c r="O57" s="77">
        <v>126.21472610158978</v>
      </c>
      <c r="P57" s="77">
        <v>130.04849708088506</v>
      </c>
      <c r="Q57" s="77">
        <v>151.28478874576373</v>
      </c>
      <c r="R57" s="77">
        <v>149.78926319040178</v>
      </c>
      <c r="S57" s="77">
        <v>216.50708085382837</v>
      </c>
      <c r="T57" s="77">
        <v>196.6961169810067</v>
      </c>
      <c r="U57" s="77">
        <v>184.2449217031234</v>
      </c>
      <c r="V57" s="77">
        <v>195.05186270136576</v>
      </c>
      <c r="W57" s="77">
        <v>188.60578587167834</v>
      </c>
      <c r="X57" s="77">
        <v>198.89333683685521</v>
      </c>
      <c r="Y57" s="77">
        <v>197.58666275326431</v>
      </c>
      <c r="Z57" s="77">
        <v>178.77528870006989</v>
      </c>
      <c r="AA57" s="77">
        <v>176.76216452324141</v>
      </c>
      <c r="AB57" s="77">
        <v>184.93432293748336</v>
      </c>
      <c r="AC57" s="77">
        <v>176.34217939572582</v>
      </c>
      <c r="AD57" s="77">
        <v>186.16718023035443</v>
      </c>
      <c r="AE57" s="77">
        <v>177.53122934714898</v>
      </c>
    </row>
    <row r="58" spans="1:31" x14ac:dyDescent="0.25">
      <c r="A58" s="48" t="s">
        <v>42</v>
      </c>
      <c r="B58" s="49">
        <f t="shared" ref="B58:AE58" si="26">+B57/B54</f>
        <v>0</v>
      </c>
      <c r="C58" s="49">
        <f t="shared" si="26"/>
        <v>1.1214460761572218</v>
      </c>
      <c r="D58" s="49">
        <f t="shared" si="26"/>
        <v>-0.26413556937078408</v>
      </c>
      <c r="E58" s="49">
        <f t="shared" si="26"/>
        <v>-3.595955888366325</v>
      </c>
      <c r="F58" s="49">
        <f t="shared" si="26"/>
        <v>-5.0906460710419257</v>
      </c>
      <c r="G58" s="49">
        <f t="shared" si="26"/>
        <v>108.44100282727476</v>
      </c>
      <c r="H58" s="49">
        <f t="shared" si="26"/>
        <v>-49.884232208159396</v>
      </c>
      <c r="I58" s="49">
        <f t="shared" si="26"/>
        <v>48.825321555792812</v>
      </c>
      <c r="J58" s="49">
        <f t="shared" si="26"/>
        <v>93.774097241114163</v>
      </c>
      <c r="K58" s="49">
        <f t="shared" si="26"/>
        <v>101.09919976677203</v>
      </c>
      <c r="L58" s="49">
        <f t="shared" si="26"/>
        <v>98.066141306328163</v>
      </c>
      <c r="M58" s="49">
        <f t="shared" si="26"/>
        <v>109.69806278972149</v>
      </c>
      <c r="N58" s="49">
        <f t="shared" si="26"/>
        <v>229.87611993068211</v>
      </c>
      <c r="O58" s="49">
        <f t="shared" si="26"/>
        <v>232.25980474159542</v>
      </c>
      <c r="P58" s="49">
        <f t="shared" si="26"/>
        <v>250.80179917622868</v>
      </c>
      <c r="Q58" s="49">
        <f t="shared" si="26"/>
        <v>305.7608351026351</v>
      </c>
      <c r="R58" s="49">
        <f t="shared" si="26"/>
        <v>317.31042751640643</v>
      </c>
      <c r="S58" s="49">
        <f t="shared" si="26"/>
        <v>480.65896488902467</v>
      </c>
      <c r="T58" s="49">
        <f t="shared" si="26"/>
        <v>457.63792893218289</v>
      </c>
      <c r="U58" s="49">
        <f t="shared" si="26"/>
        <v>449.24477428030639</v>
      </c>
      <c r="V58" s="49">
        <f t="shared" si="26"/>
        <v>498.48796398788676</v>
      </c>
      <c r="W58" s="49">
        <f t="shared" si="26"/>
        <v>505.15059488433559</v>
      </c>
      <c r="X58" s="49">
        <f t="shared" si="26"/>
        <v>558.273963501558</v>
      </c>
      <c r="Y58" s="49">
        <f t="shared" si="26"/>
        <v>581.22735873223178</v>
      </c>
      <c r="Z58" s="49">
        <f t="shared" si="26"/>
        <v>551.20478320692484</v>
      </c>
      <c r="AA58" s="49">
        <f t="shared" si="26"/>
        <v>571.15776204472002</v>
      </c>
      <c r="AB58" s="49">
        <f t="shared" si="26"/>
        <v>626.24688187927586</v>
      </c>
      <c r="AC58" s="49">
        <f t="shared" si="26"/>
        <v>625.81438465065628</v>
      </c>
      <c r="AD58" s="49">
        <f t="shared" si="26"/>
        <v>692.48365222821212</v>
      </c>
      <c r="AE58" s="49">
        <f t="shared" si="26"/>
        <v>692.05792707091337</v>
      </c>
    </row>
    <row r="59" spans="1:31" x14ac:dyDescent="0.25">
      <c r="A59" s="50" t="s">
        <v>40</v>
      </c>
      <c r="B59" s="51">
        <f t="shared" ref="B59:H59" si="27">+B44</f>
        <v>0</v>
      </c>
      <c r="C59" s="51">
        <f t="shared" si="27"/>
        <v>0</v>
      </c>
      <c r="D59" s="51">
        <f t="shared" si="27"/>
        <v>0</v>
      </c>
      <c r="E59" s="51">
        <f t="shared" si="27"/>
        <v>0</v>
      </c>
      <c r="F59" s="51">
        <f t="shared" si="27"/>
        <v>0</v>
      </c>
      <c r="G59" s="51">
        <f t="shared" si="27"/>
        <v>0</v>
      </c>
      <c r="H59" s="51">
        <f t="shared" si="27"/>
        <v>0</v>
      </c>
      <c r="I59" s="51">
        <f>+I44</f>
        <v>15.788363499540408</v>
      </c>
      <c r="J59" s="51">
        <f t="shared" ref="J59:AE59" si="28">+J44</f>
        <v>15.876122651112929</v>
      </c>
      <c r="K59" s="51">
        <f t="shared" si="28"/>
        <v>15.961779131322926</v>
      </c>
      <c r="L59" s="51">
        <f t="shared" si="28"/>
        <v>16.048292176335021</v>
      </c>
      <c r="M59" s="51">
        <f t="shared" si="28"/>
        <v>16.135670351797238</v>
      </c>
      <c r="N59" s="51">
        <f t="shared" si="28"/>
        <v>16.223922309014075</v>
      </c>
      <c r="O59" s="51">
        <f t="shared" si="28"/>
        <v>16.313056785803084</v>
      </c>
      <c r="P59" s="51">
        <f t="shared" si="28"/>
        <v>16.40308260735998</v>
      </c>
      <c r="Q59" s="51">
        <f t="shared" si="28"/>
        <v>16.49400868713245</v>
      </c>
      <c r="R59" s="51">
        <f t="shared" si="28"/>
        <v>16.585844027702642</v>
      </c>
      <c r="S59" s="51">
        <f t="shared" si="28"/>
        <v>16.678597721678535</v>
      </c>
      <c r="T59" s="51">
        <f t="shared" si="28"/>
        <v>16.772278952594188</v>
      </c>
      <c r="U59" s="51">
        <f t="shared" si="28"/>
        <v>16.866896995818998</v>
      </c>
      <c r="V59" s="51">
        <f t="shared" si="28"/>
        <v>16.962461219476054</v>
      </c>
      <c r="W59" s="51">
        <f t="shared" si="28"/>
        <v>17.058981085369684</v>
      </c>
      <c r="X59" s="51">
        <f t="shared" si="28"/>
        <v>17.156466149922252</v>
      </c>
      <c r="Y59" s="51">
        <f t="shared" si="28"/>
        <v>17.25492606512034</v>
      </c>
      <c r="Z59" s="51">
        <f t="shared" si="28"/>
        <v>17.354370579470412</v>
      </c>
      <c r="AA59" s="51">
        <f t="shared" si="28"/>
        <v>17.454809538963978</v>
      </c>
      <c r="AB59" s="51">
        <f t="shared" si="28"/>
        <v>17.556252888052487</v>
      </c>
      <c r="AC59" s="51">
        <f t="shared" si="28"/>
        <v>17.658710670631876</v>
      </c>
      <c r="AD59" s="51">
        <f t="shared" si="28"/>
        <v>17.762193031037071</v>
      </c>
      <c r="AE59" s="51">
        <f t="shared" si="28"/>
        <v>17.866710215046304</v>
      </c>
    </row>
    <row r="60" spans="1:31" x14ac:dyDescent="0.25">
      <c r="A60" s="46" t="s">
        <v>41</v>
      </c>
      <c r="B60" s="47">
        <f>+B59+B58</f>
        <v>0</v>
      </c>
      <c r="C60" s="47">
        <f t="shared" ref="C60:AE60" si="29">+C59+C58</f>
        <v>1.1214460761572218</v>
      </c>
      <c r="D60" s="47">
        <f t="shared" si="29"/>
        <v>-0.26413556937078408</v>
      </c>
      <c r="E60" s="47">
        <f t="shared" si="29"/>
        <v>-3.595955888366325</v>
      </c>
      <c r="F60" s="47">
        <f t="shared" si="29"/>
        <v>-5.0906460710419257</v>
      </c>
      <c r="G60" s="47">
        <f t="shared" si="29"/>
        <v>108.44100282727476</v>
      </c>
      <c r="H60" s="47">
        <f t="shared" si="29"/>
        <v>-49.884232208159396</v>
      </c>
      <c r="I60" s="47">
        <f t="shared" si="29"/>
        <v>64.613685055333221</v>
      </c>
      <c r="J60" s="47">
        <f t="shared" si="29"/>
        <v>109.65021989222708</v>
      </c>
      <c r="K60" s="47">
        <f t="shared" si="29"/>
        <v>117.06097889809496</v>
      </c>
      <c r="L60" s="47">
        <f t="shared" si="29"/>
        <v>114.11443348266319</v>
      </c>
      <c r="M60" s="47">
        <f t="shared" si="29"/>
        <v>125.83373314151874</v>
      </c>
      <c r="N60" s="47">
        <f t="shared" si="29"/>
        <v>246.10004223969619</v>
      </c>
      <c r="O60" s="47">
        <f t="shared" si="29"/>
        <v>248.57286152739852</v>
      </c>
      <c r="P60" s="47">
        <f t="shared" si="29"/>
        <v>267.20488178358869</v>
      </c>
      <c r="Q60" s="47">
        <f t="shared" si="29"/>
        <v>322.25484378976756</v>
      </c>
      <c r="R60" s="47">
        <f t="shared" si="29"/>
        <v>333.89627154410908</v>
      </c>
      <c r="S60" s="47">
        <f t="shared" si="29"/>
        <v>497.33756261070323</v>
      </c>
      <c r="T60" s="47">
        <f t="shared" si="29"/>
        <v>474.41020788477709</v>
      </c>
      <c r="U60" s="47">
        <f t="shared" si="29"/>
        <v>466.11167127612538</v>
      </c>
      <c r="V60" s="47">
        <f t="shared" si="29"/>
        <v>515.45042520736285</v>
      </c>
      <c r="W60" s="47">
        <f t="shared" si="29"/>
        <v>522.20957596970527</v>
      </c>
      <c r="X60" s="47">
        <f t="shared" si="29"/>
        <v>575.43042965148027</v>
      </c>
      <c r="Y60" s="47">
        <f t="shared" si="29"/>
        <v>598.48228479735212</v>
      </c>
      <c r="Z60" s="47">
        <f t="shared" si="29"/>
        <v>568.5591537863952</v>
      </c>
      <c r="AA60" s="47">
        <f t="shared" si="29"/>
        <v>588.61257158368403</v>
      </c>
      <c r="AB60" s="47">
        <f t="shared" si="29"/>
        <v>643.8031347673284</v>
      </c>
      <c r="AC60" s="47">
        <f t="shared" si="29"/>
        <v>643.47309532128816</v>
      </c>
      <c r="AD60" s="47">
        <f t="shared" si="29"/>
        <v>710.24584525924922</v>
      </c>
      <c r="AE60" s="47">
        <f t="shared" si="29"/>
        <v>709.92463728595965</v>
      </c>
    </row>
    <row r="61" spans="1:31" x14ac:dyDescent="0.25">
      <c r="A61" s="53" t="s">
        <v>67</v>
      </c>
      <c r="B61" s="181">
        <v>0</v>
      </c>
      <c r="C61" s="181">
        <v>0</v>
      </c>
      <c r="D61" s="181">
        <v>0</v>
      </c>
      <c r="E61" s="181">
        <v>0</v>
      </c>
      <c r="F61" s="181">
        <v>0</v>
      </c>
      <c r="G61" s="181">
        <v>0</v>
      </c>
      <c r="H61" s="181">
        <v>0</v>
      </c>
      <c r="I61" s="181">
        <f>+I46</f>
        <v>129.84885751784327</v>
      </c>
      <c r="J61" s="181">
        <f>+J46</f>
        <v>129.84885751784327</v>
      </c>
      <c r="K61" s="181">
        <f t="shared" ref="K61:AE61" si="30">+K46</f>
        <v>210.52983369844401</v>
      </c>
      <c r="L61" s="181">
        <f t="shared" si="30"/>
        <v>210.52983369844401</v>
      </c>
      <c r="M61" s="181">
        <f t="shared" si="30"/>
        <v>210.52983369844401</v>
      </c>
      <c r="N61" s="181">
        <f t="shared" si="30"/>
        <v>210.52983369844401</v>
      </c>
      <c r="O61" s="181">
        <f t="shared" si="30"/>
        <v>210.52983369844401</v>
      </c>
      <c r="P61" s="181">
        <f t="shared" si="30"/>
        <v>210.52983369844401</v>
      </c>
      <c r="Q61" s="181">
        <f t="shared" si="30"/>
        <v>210.52983369844401</v>
      </c>
      <c r="R61" s="181">
        <f t="shared" si="30"/>
        <v>210.52983369844401</v>
      </c>
      <c r="S61" s="181">
        <f t="shared" si="30"/>
        <v>210.52983369844401</v>
      </c>
      <c r="T61" s="181">
        <f t="shared" si="30"/>
        <v>210.52983369844401</v>
      </c>
      <c r="U61" s="181">
        <f t="shared" si="30"/>
        <v>210.52983369844401</v>
      </c>
      <c r="V61" s="181">
        <f t="shared" si="30"/>
        <v>210.52983369844401</v>
      </c>
      <c r="W61" s="181">
        <f t="shared" si="30"/>
        <v>210.52983369844401</v>
      </c>
      <c r="X61" s="181">
        <f t="shared" si="30"/>
        <v>210.52983369844401</v>
      </c>
      <c r="Y61" s="181">
        <f t="shared" si="30"/>
        <v>210.52983369844401</v>
      </c>
      <c r="Z61" s="181">
        <f t="shared" si="30"/>
        <v>210.52983369844401</v>
      </c>
      <c r="AA61" s="181">
        <f t="shared" si="30"/>
        <v>210.52983369844401</v>
      </c>
      <c r="AB61" s="181">
        <f t="shared" si="30"/>
        <v>210.52983369844401</v>
      </c>
      <c r="AC61" s="181">
        <f t="shared" si="30"/>
        <v>210.52983369844401</v>
      </c>
      <c r="AD61" s="181">
        <f t="shared" si="30"/>
        <v>210.52983369844401</v>
      </c>
      <c r="AE61" s="181">
        <f t="shared" si="30"/>
        <v>210.52983369844401</v>
      </c>
    </row>
    <row r="62" spans="1:31" x14ac:dyDescent="0.25">
      <c r="A62" t="s">
        <v>68</v>
      </c>
      <c r="B62" s="43">
        <f>XNPV(NotSlowWACC,B60:AE60,$B$10:$AE$10)</f>
        <v>3652.8426183364272</v>
      </c>
      <c r="C62" s="134"/>
      <c r="D62" s="135"/>
      <c r="E62" s="136"/>
      <c r="F62" s="137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</row>
    <row r="63" spans="1:31" x14ac:dyDescent="0.25">
      <c r="A63" t="s">
        <v>69</v>
      </c>
      <c r="B63" s="43">
        <f>XNPV(NotSlowWACC,B61:AE61,$B$10:$AE$10)</f>
        <v>2069.8878818125322</v>
      </c>
      <c r="C63" s="134"/>
      <c r="D63" s="135"/>
      <c r="E63" s="136"/>
      <c r="F63" s="137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</row>
    <row r="64" spans="1:31" ht="15.75" thickBot="1" x14ac:dyDescent="0.3">
      <c r="A64" s="1" t="s">
        <v>119</v>
      </c>
      <c r="B64" s="68">
        <f>+B62-B63</f>
        <v>1582.954736523895</v>
      </c>
      <c r="C64" s="134"/>
      <c r="D64" s="135"/>
      <c r="E64" s="136"/>
      <c r="F64" s="137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</row>
    <row r="65" spans="1:31" ht="16.5" thickTop="1" thickBot="1" x14ac:dyDescent="0.3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</row>
    <row r="66" spans="1:31" ht="15.75" thickTop="1" x14ac:dyDescent="0.25">
      <c r="A66" s="71" t="str">
        <f>+A2</f>
        <v>Option 3:  600 MW in 2027 and 600 MW in 2029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</row>
    <row r="67" spans="1:31" x14ac:dyDescent="0.25">
      <c r="A67" s="73" t="s">
        <v>72</v>
      </c>
      <c r="B67" s="74" t="str">
        <f>+Overview!D10</f>
        <v>Step Change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</row>
    <row r="68" spans="1:31" x14ac:dyDescent="0.25">
      <c r="A68" s="2" t="s">
        <v>34</v>
      </c>
      <c r="B68" s="1">
        <v>0</v>
      </c>
      <c r="C68" s="1">
        <f>+B68+1</f>
        <v>1</v>
      </c>
      <c r="D68" s="1">
        <f t="shared" ref="D68:AE68" si="31">+C68+1</f>
        <v>2</v>
      </c>
      <c r="E68" s="1">
        <f t="shared" si="31"/>
        <v>3</v>
      </c>
      <c r="F68" s="1">
        <f t="shared" si="31"/>
        <v>4</v>
      </c>
      <c r="G68" s="1">
        <f t="shared" si="31"/>
        <v>5</v>
      </c>
      <c r="H68" s="8">
        <f t="shared" si="31"/>
        <v>6</v>
      </c>
      <c r="I68" s="1">
        <f t="shared" si="31"/>
        <v>7</v>
      </c>
      <c r="J68" s="1">
        <f t="shared" si="31"/>
        <v>8</v>
      </c>
      <c r="K68" s="1">
        <f t="shared" si="31"/>
        <v>9</v>
      </c>
      <c r="L68" s="1">
        <f t="shared" si="31"/>
        <v>10</v>
      </c>
      <c r="M68" s="1">
        <f t="shared" si="31"/>
        <v>11</v>
      </c>
      <c r="N68" s="1">
        <f t="shared" si="31"/>
        <v>12</v>
      </c>
      <c r="O68" s="1">
        <f t="shared" si="31"/>
        <v>13</v>
      </c>
      <c r="P68" s="1">
        <f t="shared" si="31"/>
        <v>14</v>
      </c>
      <c r="Q68" s="1">
        <f t="shared" si="31"/>
        <v>15</v>
      </c>
      <c r="R68" s="1">
        <f t="shared" si="31"/>
        <v>16</v>
      </c>
      <c r="S68" s="1">
        <f t="shared" si="31"/>
        <v>17</v>
      </c>
      <c r="T68" s="1">
        <f t="shared" si="31"/>
        <v>18</v>
      </c>
      <c r="U68" s="1">
        <f t="shared" si="31"/>
        <v>19</v>
      </c>
      <c r="V68" s="1">
        <f t="shared" si="31"/>
        <v>20</v>
      </c>
      <c r="W68" s="1">
        <f t="shared" si="31"/>
        <v>21</v>
      </c>
      <c r="X68" s="1">
        <f t="shared" si="31"/>
        <v>22</v>
      </c>
      <c r="Y68" s="1">
        <f t="shared" si="31"/>
        <v>23</v>
      </c>
      <c r="Z68" s="1">
        <f t="shared" si="31"/>
        <v>24</v>
      </c>
      <c r="AA68" s="1">
        <f t="shared" si="31"/>
        <v>25</v>
      </c>
      <c r="AB68" s="1">
        <f t="shared" si="31"/>
        <v>26</v>
      </c>
      <c r="AC68" s="1">
        <f t="shared" si="31"/>
        <v>27</v>
      </c>
      <c r="AD68" s="1">
        <f t="shared" si="31"/>
        <v>28</v>
      </c>
      <c r="AE68" s="1">
        <f t="shared" si="31"/>
        <v>29</v>
      </c>
    </row>
    <row r="69" spans="1:31" x14ac:dyDescent="0.25">
      <c r="A69" t="s">
        <v>35</v>
      </c>
      <c r="B69" s="4">
        <v>1</v>
      </c>
      <c r="C69" s="4">
        <f t="shared" ref="C69:AE69" si="32">1/((1+NotSlowWACC)^((C70-$B$10)/365))</f>
        <v>0.95419847328244267</v>
      </c>
      <c r="D69" s="4">
        <f t="shared" si="32"/>
        <v>0.91049472641454443</v>
      </c>
      <c r="E69" s="4">
        <f t="shared" si="32"/>
        <v>0.86879267787647374</v>
      </c>
      <c r="F69" s="4">
        <f t="shared" si="32"/>
        <v>0.82889417004246191</v>
      </c>
      <c r="G69" s="4">
        <f t="shared" si="32"/>
        <v>0.79092955156723455</v>
      </c>
      <c r="H69" s="4">
        <f t="shared" si="32"/>
        <v>0.75470377057942228</v>
      </c>
      <c r="I69" s="4">
        <f t="shared" si="32"/>
        <v>0.7201371856673876</v>
      </c>
      <c r="J69" s="4">
        <f t="shared" si="32"/>
        <v>0.68706554513038165</v>
      </c>
      <c r="K69" s="4">
        <f t="shared" si="32"/>
        <v>0.65559689420837941</v>
      </c>
      <c r="L69" s="4">
        <f t="shared" si="32"/>
        <v>0.62556955554234672</v>
      </c>
      <c r="M69" s="4">
        <f t="shared" si="32"/>
        <v>0.5969175148304835</v>
      </c>
      <c r="N69" s="4">
        <f t="shared" si="32"/>
        <v>0.56950462479561925</v>
      </c>
      <c r="O69" s="4">
        <f t="shared" si="32"/>
        <v>0.54342044350727026</v>
      </c>
      <c r="P69" s="4">
        <f t="shared" si="32"/>
        <v>0.51853095754510525</v>
      </c>
      <c r="Q69" s="4">
        <f t="shared" si="32"/>
        <v>0.49478144803922253</v>
      </c>
      <c r="R69" s="4">
        <f t="shared" si="32"/>
        <v>0.47205906330530845</v>
      </c>
      <c r="S69" s="4">
        <f t="shared" si="32"/>
        <v>0.45043803750506534</v>
      </c>
      <c r="T69" s="4">
        <f t="shared" si="32"/>
        <v>0.429807287695673</v>
      </c>
      <c r="U69" s="4">
        <f t="shared" si="32"/>
        <v>0.41012145772487879</v>
      </c>
      <c r="V69" s="4">
        <f t="shared" si="32"/>
        <v>0.39128700548947559</v>
      </c>
      <c r="W69" s="4">
        <f t="shared" si="32"/>
        <v>0.37336546325331643</v>
      </c>
      <c r="X69" s="4">
        <f t="shared" si="32"/>
        <v>0.35626475501270649</v>
      </c>
      <c r="Y69" s="4">
        <f t="shared" si="32"/>
        <v>0.33994728531746798</v>
      </c>
      <c r="Z69" s="4">
        <f t="shared" si="32"/>
        <v>0.32433551766359908</v>
      </c>
      <c r="AA69" s="4">
        <f t="shared" si="32"/>
        <v>0.30948045578587696</v>
      </c>
      <c r="AB69" s="4">
        <f t="shared" si="32"/>
        <v>0.29530577842163835</v>
      </c>
      <c r="AC69" s="4">
        <f t="shared" si="32"/>
        <v>0.28178032292141064</v>
      </c>
      <c r="AD69" s="4">
        <f t="shared" si="32"/>
        <v>0.26883981972906118</v>
      </c>
      <c r="AE69" s="4">
        <f t="shared" si="32"/>
        <v>0.25652654554299731</v>
      </c>
    </row>
    <row r="70" spans="1:31" x14ac:dyDescent="0.25">
      <c r="A70" s="5" t="s">
        <v>70</v>
      </c>
      <c r="B70" s="6">
        <f>+B55</f>
        <v>44013</v>
      </c>
      <c r="C70" s="6">
        <f t="shared" ref="C70:AE71" si="33">+C55</f>
        <v>44378</v>
      </c>
      <c r="D70" s="6">
        <f t="shared" si="33"/>
        <v>44743</v>
      </c>
      <c r="E70" s="6">
        <f t="shared" si="33"/>
        <v>45108</v>
      </c>
      <c r="F70" s="6">
        <f t="shared" si="33"/>
        <v>45474</v>
      </c>
      <c r="G70" s="6">
        <f t="shared" si="33"/>
        <v>45839</v>
      </c>
      <c r="H70" s="6">
        <f t="shared" si="33"/>
        <v>46204</v>
      </c>
      <c r="I70" s="6">
        <f t="shared" si="33"/>
        <v>46569</v>
      </c>
      <c r="J70" s="6">
        <f t="shared" si="33"/>
        <v>46935</v>
      </c>
      <c r="K70" s="6">
        <f t="shared" si="33"/>
        <v>47300</v>
      </c>
      <c r="L70" s="6">
        <f t="shared" si="33"/>
        <v>47665</v>
      </c>
      <c r="M70" s="6">
        <f t="shared" si="33"/>
        <v>48030</v>
      </c>
      <c r="N70" s="6">
        <f t="shared" si="33"/>
        <v>48396</v>
      </c>
      <c r="O70" s="6">
        <f t="shared" si="33"/>
        <v>48761</v>
      </c>
      <c r="P70" s="6">
        <f t="shared" si="33"/>
        <v>49126</v>
      </c>
      <c r="Q70" s="6">
        <f t="shared" si="33"/>
        <v>49491</v>
      </c>
      <c r="R70" s="6">
        <f t="shared" si="33"/>
        <v>49857</v>
      </c>
      <c r="S70" s="6">
        <f t="shared" si="33"/>
        <v>50222</v>
      </c>
      <c r="T70" s="6">
        <f t="shared" si="33"/>
        <v>50587</v>
      </c>
      <c r="U70" s="6">
        <f t="shared" si="33"/>
        <v>50952</v>
      </c>
      <c r="V70" s="6">
        <f t="shared" si="33"/>
        <v>51318</v>
      </c>
      <c r="W70" s="6">
        <f t="shared" si="33"/>
        <v>51683</v>
      </c>
      <c r="X70" s="6">
        <f t="shared" si="33"/>
        <v>52048</v>
      </c>
      <c r="Y70" s="6">
        <f t="shared" si="33"/>
        <v>52413</v>
      </c>
      <c r="Z70" s="6">
        <f t="shared" si="33"/>
        <v>52779</v>
      </c>
      <c r="AA70" s="6">
        <f t="shared" si="33"/>
        <v>53144</v>
      </c>
      <c r="AB70" s="6">
        <f t="shared" si="33"/>
        <v>53509</v>
      </c>
      <c r="AC70" s="6">
        <f t="shared" si="33"/>
        <v>53874</v>
      </c>
      <c r="AD70" s="6">
        <f t="shared" si="33"/>
        <v>54240</v>
      </c>
      <c r="AE70" s="6">
        <f t="shared" si="33"/>
        <v>54605</v>
      </c>
    </row>
    <row r="71" spans="1:31" x14ac:dyDescent="0.25">
      <c r="A71" s="179" t="s">
        <v>39</v>
      </c>
      <c r="B71" s="180" t="str">
        <f>+B56</f>
        <v>2020-21</v>
      </c>
      <c r="C71" s="180" t="str">
        <f t="shared" si="33"/>
        <v>2021-22</v>
      </c>
      <c r="D71" s="180" t="str">
        <f t="shared" si="33"/>
        <v>2022-23</v>
      </c>
      <c r="E71" s="180" t="str">
        <f t="shared" si="33"/>
        <v>2023-24</v>
      </c>
      <c r="F71" s="180" t="str">
        <f t="shared" si="33"/>
        <v>2024-25</v>
      </c>
      <c r="G71" s="180" t="str">
        <f t="shared" si="33"/>
        <v>2025-26</v>
      </c>
      <c r="H71" s="180" t="str">
        <f t="shared" si="33"/>
        <v>2026-27</v>
      </c>
      <c r="I71" s="180" t="str">
        <f t="shared" si="33"/>
        <v>2027-28</v>
      </c>
      <c r="J71" s="180" t="str">
        <f t="shared" si="33"/>
        <v>2028-29</v>
      </c>
      <c r="K71" s="180" t="str">
        <f t="shared" si="33"/>
        <v>2029-30</v>
      </c>
      <c r="L71" s="180" t="str">
        <f t="shared" si="33"/>
        <v>2030-31</v>
      </c>
      <c r="M71" s="180" t="str">
        <f t="shared" si="33"/>
        <v>2031-32</v>
      </c>
      <c r="N71" s="180" t="str">
        <f t="shared" si="33"/>
        <v>2032-33</v>
      </c>
      <c r="O71" s="180" t="str">
        <f t="shared" si="33"/>
        <v>2033-34</v>
      </c>
      <c r="P71" s="180" t="str">
        <f t="shared" si="33"/>
        <v>2034-35</v>
      </c>
      <c r="Q71" s="180" t="str">
        <f t="shared" si="33"/>
        <v>2035-36</v>
      </c>
      <c r="R71" s="180" t="str">
        <f t="shared" si="33"/>
        <v>2036-37</v>
      </c>
      <c r="S71" s="180" t="str">
        <f t="shared" si="33"/>
        <v>2037-38</v>
      </c>
      <c r="T71" s="180" t="str">
        <f t="shared" si="33"/>
        <v>2038-39</v>
      </c>
      <c r="U71" s="180" t="str">
        <f t="shared" si="33"/>
        <v>2039-40</v>
      </c>
      <c r="V71" s="180" t="str">
        <f t="shared" si="33"/>
        <v>2040-41</v>
      </c>
      <c r="W71" s="180" t="str">
        <f t="shared" si="33"/>
        <v>2041-42</v>
      </c>
      <c r="X71" s="180" t="str">
        <f t="shared" si="33"/>
        <v>2042-43</v>
      </c>
      <c r="Y71" s="180" t="str">
        <f t="shared" si="33"/>
        <v>2043-44</v>
      </c>
      <c r="Z71" s="180" t="str">
        <f t="shared" si="33"/>
        <v>2044-45</v>
      </c>
      <c r="AA71" s="180" t="str">
        <f t="shared" si="33"/>
        <v>2045-46</v>
      </c>
      <c r="AB71" s="180" t="str">
        <f t="shared" si="33"/>
        <v>2046-47</v>
      </c>
      <c r="AC71" s="180" t="str">
        <f t="shared" si="33"/>
        <v>2047-48</v>
      </c>
      <c r="AD71" s="180" t="str">
        <f t="shared" si="33"/>
        <v>2048-49</v>
      </c>
      <c r="AE71" s="180" t="str">
        <f t="shared" si="33"/>
        <v>2049-50</v>
      </c>
    </row>
    <row r="72" spans="1:31" x14ac:dyDescent="0.25">
      <c r="A72" s="52" t="str">
        <f>+A57</f>
        <v>Market benefits (PV at 2020)</v>
      </c>
      <c r="B72" s="77">
        <v>0</v>
      </c>
      <c r="C72" s="77">
        <v>35.062653968857113</v>
      </c>
      <c r="D72" s="77">
        <v>36.18859301500958</v>
      </c>
      <c r="E72" s="77">
        <v>53.354913613912757</v>
      </c>
      <c r="F72" s="77">
        <v>70.189284243680149</v>
      </c>
      <c r="G72" s="77">
        <v>96.009599378197592</v>
      </c>
      <c r="H72" s="77">
        <v>24.207634025577136</v>
      </c>
      <c r="I72" s="77">
        <v>110.90002862246247</v>
      </c>
      <c r="J72" s="77">
        <v>121.52542388532437</v>
      </c>
      <c r="K72" s="77">
        <v>92.844948939120997</v>
      </c>
      <c r="L72" s="77">
        <v>119.11651793386592</v>
      </c>
      <c r="M72" s="77">
        <v>166.19466612040006</v>
      </c>
      <c r="N72" s="77">
        <v>178.66120033133279</v>
      </c>
      <c r="O72" s="77">
        <v>193.10287704661337</v>
      </c>
      <c r="P72" s="77">
        <v>218.71682197078863</v>
      </c>
      <c r="Q72" s="77">
        <v>246.81978611906834</v>
      </c>
      <c r="R72" s="77">
        <v>244.28637911625427</v>
      </c>
      <c r="S72" s="77">
        <v>261.45228975082716</v>
      </c>
      <c r="T72" s="77">
        <v>282.68914441536839</v>
      </c>
      <c r="U72" s="77">
        <v>243.70481810671262</v>
      </c>
      <c r="V72" s="77">
        <v>259.70151922368535</v>
      </c>
      <c r="W72" s="77">
        <v>220.97035090427138</v>
      </c>
      <c r="X72" s="77">
        <v>285.56184480132907</v>
      </c>
      <c r="Y72" s="77">
        <v>280.73913537572855</v>
      </c>
      <c r="Z72" s="77">
        <v>271.409413722002</v>
      </c>
      <c r="AA72" s="77">
        <v>260.09145539050559</v>
      </c>
      <c r="AB72" s="77">
        <v>259.34541111246705</v>
      </c>
      <c r="AC72" s="77">
        <v>226.92937967054021</v>
      </c>
      <c r="AD72" s="77">
        <v>178.93653680707379</v>
      </c>
      <c r="AE72" s="77">
        <v>156.00831701970006</v>
      </c>
    </row>
    <row r="73" spans="1:31" x14ac:dyDescent="0.25">
      <c r="A73" s="48" t="s">
        <v>42</v>
      </c>
      <c r="B73" s="49">
        <f t="shared" ref="B73:AE73" si="34">+B72/B69</f>
        <v>0</v>
      </c>
      <c r="C73" s="49">
        <f t="shared" si="34"/>
        <v>36.745661359362259</v>
      </c>
      <c r="D73" s="49">
        <f t="shared" si="34"/>
        <v>39.746076462757088</v>
      </c>
      <c r="E73" s="49">
        <f t="shared" si="34"/>
        <v>61.412710963821958</v>
      </c>
      <c r="F73" s="49">
        <f t="shared" si="34"/>
        <v>84.678221636043773</v>
      </c>
      <c r="G73" s="49">
        <f t="shared" si="34"/>
        <v>121.38830719873046</v>
      </c>
      <c r="H73" s="49">
        <f t="shared" si="34"/>
        <v>32.075676535962941</v>
      </c>
      <c r="I73" s="49">
        <f t="shared" si="34"/>
        <v>153.99847533173252</v>
      </c>
      <c r="J73" s="49">
        <f t="shared" si="34"/>
        <v>176.87602696226455</v>
      </c>
      <c r="K73" s="49">
        <f t="shared" si="34"/>
        <v>141.61895786774505</v>
      </c>
      <c r="L73" s="49">
        <f t="shared" si="34"/>
        <v>190.41290753127541</v>
      </c>
      <c r="M73" s="49">
        <f t="shared" si="34"/>
        <v>278.42149374289528</v>
      </c>
      <c r="N73" s="49">
        <f t="shared" si="34"/>
        <v>313.71334411103294</v>
      </c>
      <c r="O73" s="49">
        <f t="shared" si="34"/>
        <v>355.3470969923676</v>
      </c>
      <c r="P73" s="49">
        <f t="shared" si="34"/>
        <v>421.80089498660874</v>
      </c>
      <c r="Q73" s="49">
        <f t="shared" si="34"/>
        <v>498.8460806224536</v>
      </c>
      <c r="R73" s="49">
        <f t="shared" si="34"/>
        <v>517.49113216000228</v>
      </c>
      <c r="S73" s="49">
        <f t="shared" si="34"/>
        <v>580.44007828243639</v>
      </c>
      <c r="T73" s="49">
        <f t="shared" si="34"/>
        <v>657.7113802117002</v>
      </c>
      <c r="U73" s="49">
        <f t="shared" si="34"/>
        <v>594.22596286146234</v>
      </c>
      <c r="V73" s="49">
        <f t="shared" si="34"/>
        <v>663.71107545167513</v>
      </c>
      <c r="W73" s="49">
        <f t="shared" si="34"/>
        <v>591.83393391249513</v>
      </c>
      <c r="X73" s="49">
        <f t="shared" si="34"/>
        <v>801.54391020561172</v>
      </c>
      <c r="Y73" s="49">
        <f t="shared" si="34"/>
        <v>825.83137886673671</v>
      </c>
      <c r="Z73" s="49">
        <f t="shared" si="34"/>
        <v>836.81681142152286</v>
      </c>
      <c r="AA73" s="49">
        <f t="shared" si="34"/>
        <v>840.41318450964604</v>
      </c>
      <c r="AB73" s="49">
        <f t="shared" si="34"/>
        <v>878.22667236186965</v>
      </c>
      <c r="AC73" s="49">
        <f t="shared" si="34"/>
        <v>805.34147068115715</v>
      </c>
      <c r="AD73" s="49">
        <f t="shared" si="34"/>
        <v>665.58792141509173</v>
      </c>
      <c r="AE73" s="49">
        <f t="shared" si="34"/>
        <v>608.15662055352846</v>
      </c>
    </row>
    <row r="74" spans="1:31" x14ac:dyDescent="0.25">
      <c r="A74" s="50" t="s">
        <v>40</v>
      </c>
      <c r="B74" s="51">
        <f t="shared" ref="B74:H74" si="35">+B59</f>
        <v>0</v>
      </c>
      <c r="C74" s="51">
        <f t="shared" si="35"/>
        <v>0</v>
      </c>
      <c r="D74" s="51">
        <f t="shared" si="35"/>
        <v>0</v>
      </c>
      <c r="E74" s="51">
        <f t="shared" si="35"/>
        <v>0</v>
      </c>
      <c r="F74" s="51">
        <f t="shared" si="35"/>
        <v>0</v>
      </c>
      <c r="G74" s="51">
        <f t="shared" si="35"/>
        <v>0</v>
      </c>
      <c r="H74" s="51">
        <f t="shared" si="35"/>
        <v>0</v>
      </c>
      <c r="I74" s="51">
        <f>+I59</f>
        <v>15.788363499540408</v>
      </c>
      <c r="J74" s="51">
        <f t="shared" ref="J74:AE74" si="36">+J59</f>
        <v>15.876122651112929</v>
      </c>
      <c r="K74" s="51">
        <f t="shared" si="36"/>
        <v>15.961779131322926</v>
      </c>
      <c r="L74" s="51">
        <f t="shared" si="36"/>
        <v>16.048292176335021</v>
      </c>
      <c r="M74" s="51">
        <f t="shared" si="36"/>
        <v>16.135670351797238</v>
      </c>
      <c r="N74" s="51">
        <f t="shared" si="36"/>
        <v>16.223922309014075</v>
      </c>
      <c r="O74" s="51">
        <f t="shared" si="36"/>
        <v>16.313056785803084</v>
      </c>
      <c r="P74" s="51">
        <f t="shared" si="36"/>
        <v>16.40308260735998</v>
      </c>
      <c r="Q74" s="51">
        <f t="shared" si="36"/>
        <v>16.49400868713245</v>
      </c>
      <c r="R74" s="51">
        <f t="shared" si="36"/>
        <v>16.585844027702642</v>
      </c>
      <c r="S74" s="51">
        <f t="shared" si="36"/>
        <v>16.678597721678535</v>
      </c>
      <c r="T74" s="51">
        <f t="shared" si="36"/>
        <v>16.772278952594188</v>
      </c>
      <c r="U74" s="51">
        <f t="shared" si="36"/>
        <v>16.866896995818998</v>
      </c>
      <c r="V74" s="51">
        <f t="shared" si="36"/>
        <v>16.962461219476054</v>
      </c>
      <c r="W74" s="51">
        <f t="shared" si="36"/>
        <v>17.058981085369684</v>
      </c>
      <c r="X74" s="51">
        <f t="shared" si="36"/>
        <v>17.156466149922252</v>
      </c>
      <c r="Y74" s="51">
        <f t="shared" si="36"/>
        <v>17.25492606512034</v>
      </c>
      <c r="Z74" s="51">
        <f t="shared" si="36"/>
        <v>17.354370579470412</v>
      </c>
      <c r="AA74" s="51">
        <f t="shared" si="36"/>
        <v>17.454809538963978</v>
      </c>
      <c r="AB74" s="51">
        <f t="shared" si="36"/>
        <v>17.556252888052487</v>
      </c>
      <c r="AC74" s="51">
        <f t="shared" si="36"/>
        <v>17.658710670631876</v>
      </c>
      <c r="AD74" s="51">
        <f t="shared" si="36"/>
        <v>17.762193031037071</v>
      </c>
      <c r="AE74" s="51">
        <f t="shared" si="36"/>
        <v>17.866710215046304</v>
      </c>
    </row>
    <row r="75" spans="1:31" x14ac:dyDescent="0.25">
      <c r="A75" s="46" t="s">
        <v>41</v>
      </c>
      <c r="B75" s="47">
        <f>+B74+B73</f>
        <v>0</v>
      </c>
      <c r="C75" s="47">
        <f t="shared" ref="C75:AE75" si="37">+C74+C73</f>
        <v>36.745661359362259</v>
      </c>
      <c r="D75" s="47">
        <f t="shared" si="37"/>
        <v>39.746076462757088</v>
      </c>
      <c r="E75" s="47">
        <f t="shared" si="37"/>
        <v>61.412710963821958</v>
      </c>
      <c r="F75" s="47">
        <f t="shared" si="37"/>
        <v>84.678221636043773</v>
      </c>
      <c r="G75" s="47">
        <f t="shared" si="37"/>
        <v>121.38830719873046</v>
      </c>
      <c r="H75" s="47">
        <f t="shared" si="37"/>
        <v>32.075676535962941</v>
      </c>
      <c r="I75" s="47">
        <f t="shared" si="37"/>
        <v>169.78683883127292</v>
      </c>
      <c r="J75" s="47">
        <f t="shared" si="37"/>
        <v>192.75214961337747</v>
      </c>
      <c r="K75" s="47">
        <f t="shared" si="37"/>
        <v>157.58073699906797</v>
      </c>
      <c r="L75" s="47">
        <f t="shared" si="37"/>
        <v>206.46119970761043</v>
      </c>
      <c r="M75" s="47">
        <f t="shared" si="37"/>
        <v>294.5571640946925</v>
      </c>
      <c r="N75" s="47">
        <f t="shared" si="37"/>
        <v>329.93726642004702</v>
      </c>
      <c r="O75" s="47">
        <f t="shared" si="37"/>
        <v>371.6601537781707</v>
      </c>
      <c r="P75" s="47">
        <f t="shared" si="37"/>
        <v>438.20397759396872</v>
      </c>
      <c r="Q75" s="47">
        <f t="shared" si="37"/>
        <v>515.34008930958601</v>
      </c>
      <c r="R75" s="47">
        <f t="shared" si="37"/>
        <v>534.07697618770487</v>
      </c>
      <c r="S75" s="47">
        <f t="shared" si="37"/>
        <v>597.11867600411495</v>
      </c>
      <c r="T75" s="47">
        <f t="shared" si="37"/>
        <v>674.48365916429441</v>
      </c>
      <c r="U75" s="47">
        <f t="shared" si="37"/>
        <v>611.09285985728138</v>
      </c>
      <c r="V75" s="47">
        <f t="shared" si="37"/>
        <v>680.67353667115117</v>
      </c>
      <c r="W75" s="47">
        <f t="shared" si="37"/>
        <v>608.89291499786486</v>
      </c>
      <c r="X75" s="47">
        <f t="shared" si="37"/>
        <v>818.70037635553399</v>
      </c>
      <c r="Y75" s="47">
        <f t="shared" si="37"/>
        <v>843.08630493185706</v>
      </c>
      <c r="Z75" s="47">
        <f t="shared" si="37"/>
        <v>854.17118200099321</v>
      </c>
      <c r="AA75" s="47">
        <f t="shared" si="37"/>
        <v>857.86799404861006</v>
      </c>
      <c r="AB75" s="47">
        <f t="shared" si="37"/>
        <v>895.78292524992219</v>
      </c>
      <c r="AC75" s="47">
        <f t="shared" si="37"/>
        <v>823.00018135178902</v>
      </c>
      <c r="AD75" s="47">
        <f t="shared" si="37"/>
        <v>683.35011444612883</v>
      </c>
      <c r="AE75" s="47">
        <f t="shared" si="37"/>
        <v>626.02333076857474</v>
      </c>
    </row>
    <row r="76" spans="1:31" x14ac:dyDescent="0.25">
      <c r="A76" s="53" t="s">
        <v>67</v>
      </c>
      <c r="B76" s="181">
        <v>0</v>
      </c>
      <c r="C76" s="181">
        <v>0</v>
      </c>
      <c r="D76" s="181">
        <v>0</v>
      </c>
      <c r="E76" s="181">
        <v>0</v>
      </c>
      <c r="F76" s="181">
        <v>0</v>
      </c>
      <c r="G76" s="181">
        <v>0</v>
      </c>
      <c r="H76" s="181">
        <v>0</v>
      </c>
      <c r="I76" s="181">
        <f>+I61</f>
        <v>129.84885751784327</v>
      </c>
      <c r="J76" s="181">
        <f>+J61</f>
        <v>129.84885751784327</v>
      </c>
      <c r="K76" s="181">
        <f t="shared" ref="K76:AE76" si="38">+K61</f>
        <v>210.52983369844401</v>
      </c>
      <c r="L76" s="181">
        <f t="shared" si="38"/>
        <v>210.52983369844401</v>
      </c>
      <c r="M76" s="181">
        <f t="shared" si="38"/>
        <v>210.52983369844401</v>
      </c>
      <c r="N76" s="181">
        <f t="shared" si="38"/>
        <v>210.52983369844401</v>
      </c>
      <c r="O76" s="181">
        <f t="shared" si="38"/>
        <v>210.52983369844401</v>
      </c>
      <c r="P76" s="181">
        <f t="shared" si="38"/>
        <v>210.52983369844401</v>
      </c>
      <c r="Q76" s="181">
        <f t="shared" si="38"/>
        <v>210.52983369844401</v>
      </c>
      <c r="R76" s="181">
        <f t="shared" si="38"/>
        <v>210.52983369844401</v>
      </c>
      <c r="S76" s="181">
        <f t="shared" si="38"/>
        <v>210.52983369844401</v>
      </c>
      <c r="T76" s="181">
        <f t="shared" si="38"/>
        <v>210.52983369844401</v>
      </c>
      <c r="U76" s="181">
        <f t="shared" si="38"/>
        <v>210.52983369844401</v>
      </c>
      <c r="V76" s="181">
        <f t="shared" si="38"/>
        <v>210.52983369844401</v>
      </c>
      <c r="W76" s="181">
        <f t="shared" si="38"/>
        <v>210.52983369844401</v>
      </c>
      <c r="X76" s="181">
        <f t="shared" si="38"/>
        <v>210.52983369844401</v>
      </c>
      <c r="Y76" s="181">
        <f t="shared" si="38"/>
        <v>210.52983369844401</v>
      </c>
      <c r="Z76" s="181">
        <f t="shared" si="38"/>
        <v>210.52983369844401</v>
      </c>
      <c r="AA76" s="181">
        <f t="shared" si="38"/>
        <v>210.52983369844401</v>
      </c>
      <c r="AB76" s="181">
        <f t="shared" si="38"/>
        <v>210.52983369844401</v>
      </c>
      <c r="AC76" s="181">
        <f t="shared" si="38"/>
        <v>210.52983369844401</v>
      </c>
      <c r="AD76" s="181">
        <f t="shared" si="38"/>
        <v>210.52983369844401</v>
      </c>
      <c r="AE76" s="181">
        <f t="shared" si="38"/>
        <v>210.52983369844401</v>
      </c>
    </row>
    <row r="77" spans="1:31" x14ac:dyDescent="0.25">
      <c r="A77" t="s">
        <v>68</v>
      </c>
      <c r="B77" s="43">
        <f>XNPV(NotSlowWACC,B75:AE75,$B$10:$AE$10)</f>
        <v>5366.9073351685183</v>
      </c>
      <c r="C77" s="134"/>
      <c r="D77" s="135"/>
      <c r="E77" s="136"/>
      <c r="F77" s="137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</row>
    <row r="78" spans="1:31" x14ac:dyDescent="0.25">
      <c r="A78" t="s">
        <v>69</v>
      </c>
      <c r="B78" s="43">
        <f>XNPV(NotSlowWACC,B76:AE76,$B$10:$AE$10)</f>
        <v>2069.8878818125322</v>
      </c>
      <c r="C78" s="134"/>
      <c r="D78" s="135"/>
      <c r="E78" s="136"/>
      <c r="F78" s="137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</row>
    <row r="79" spans="1:31" ht="15.75" thickBot="1" x14ac:dyDescent="0.3">
      <c r="A79" s="1" t="s">
        <v>119</v>
      </c>
      <c r="B79" s="68">
        <f>+B77-B78</f>
        <v>3297.0194533559861</v>
      </c>
      <c r="C79" s="134"/>
      <c r="D79" s="135"/>
      <c r="E79" s="136"/>
      <c r="F79" s="137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</row>
    <row r="80" spans="1:31" ht="15.75" thickTop="1" x14ac:dyDescent="0.25"/>
    <row r="81" spans="1:31" ht="15.75" thickBot="1" x14ac:dyDescent="0.3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</row>
    <row r="82" spans="1:31" ht="21" x14ac:dyDescent="0.35">
      <c r="A82" s="187" t="s">
        <v>132</v>
      </c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</row>
    <row r="83" spans="1:31" ht="19.5" thickBot="1" x14ac:dyDescent="0.35">
      <c r="A83" s="214" t="s">
        <v>153</v>
      </c>
      <c r="B83" s="21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</row>
    <row r="84" spans="1:31" ht="15.75" thickTop="1" x14ac:dyDescent="0.25">
      <c r="A84" s="71" t="str">
        <f>A6</f>
        <v>Option 3:  600 MW in 2027 and 600 MW in 2029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</row>
    <row r="85" spans="1:31" x14ac:dyDescent="0.25">
      <c r="A85" s="210" t="str">
        <f>A7</f>
        <v xml:space="preserve">Scenario: </v>
      </c>
      <c r="B85" s="211" t="s">
        <v>100</v>
      </c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3"/>
    </row>
    <row r="86" spans="1:31" x14ac:dyDescent="0.25">
      <c r="B86" s="159">
        <v>1</v>
      </c>
      <c r="C86" s="159">
        <v>1</v>
      </c>
      <c r="D86" s="159">
        <v>1</v>
      </c>
      <c r="E86" s="159">
        <v>1</v>
      </c>
      <c r="F86" s="159">
        <v>1</v>
      </c>
      <c r="G86" s="159">
        <v>1</v>
      </c>
      <c r="H86" s="159">
        <v>1</v>
      </c>
      <c r="I86" s="159">
        <v>1</v>
      </c>
      <c r="J86" s="159">
        <v>1</v>
      </c>
      <c r="K86" s="159">
        <v>1</v>
      </c>
      <c r="L86" s="159">
        <v>1</v>
      </c>
      <c r="M86" s="159">
        <v>1</v>
      </c>
      <c r="N86" s="159">
        <v>1</v>
      </c>
      <c r="O86" s="159">
        <v>1</v>
      </c>
      <c r="P86" s="159">
        <v>1</v>
      </c>
      <c r="Q86" s="159">
        <v>1</v>
      </c>
      <c r="R86" s="159">
        <v>1</v>
      </c>
      <c r="S86" s="159">
        <v>1</v>
      </c>
      <c r="T86" s="159">
        <v>1</v>
      </c>
      <c r="U86" s="159">
        <v>1</v>
      </c>
      <c r="V86" s="159">
        <v>1</v>
      </c>
      <c r="W86" s="159">
        <v>1</v>
      </c>
      <c r="X86" s="159">
        <v>1</v>
      </c>
      <c r="Y86" s="159">
        <v>1</v>
      </c>
      <c r="Z86" s="159">
        <v>1</v>
      </c>
      <c r="AA86" s="159">
        <v>1</v>
      </c>
      <c r="AB86" s="159">
        <v>1</v>
      </c>
      <c r="AC86" s="159">
        <v>1</v>
      </c>
      <c r="AD86" s="159">
        <v>1</v>
      </c>
      <c r="AE86" s="159">
        <v>1</v>
      </c>
    </row>
    <row r="87" spans="1:31" x14ac:dyDescent="0.25">
      <c r="A87" s="179" t="s">
        <v>39</v>
      </c>
      <c r="B87" s="180" t="str">
        <f>+B71</f>
        <v>2020-21</v>
      </c>
      <c r="C87" s="180" t="str">
        <f t="shared" ref="C87:AE87" si="39">+C71</f>
        <v>2021-22</v>
      </c>
      <c r="D87" s="180" t="str">
        <f t="shared" si="39"/>
        <v>2022-23</v>
      </c>
      <c r="E87" s="180" t="str">
        <f t="shared" si="39"/>
        <v>2023-24</v>
      </c>
      <c r="F87" s="180" t="str">
        <f t="shared" si="39"/>
        <v>2024-25</v>
      </c>
      <c r="G87" s="180" t="str">
        <f t="shared" si="39"/>
        <v>2025-26</v>
      </c>
      <c r="H87" s="180" t="str">
        <f t="shared" si="39"/>
        <v>2026-27</v>
      </c>
      <c r="I87" s="180" t="str">
        <f t="shared" si="39"/>
        <v>2027-28</v>
      </c>
      <c r="J87" s="180" t="str">
        <f t="shared" si="39"/>
        <v>2028-29</v>
      </c>
      <c r="K87" s="180" t="str">
        <f t="shared" si="39"/>
        <v>2029-30</v>
      </c>
      <c r="L87" s="180" t="str">
        <f t="shared" si="39"/>
        <v>2030-31</v>
      </c>
      <c r="M87" s="180" t="str">
        <f t="shared" si="39"/>
        <v>2031-32</v>
      </c>
      <c r="N87" s="180" t="str">
        <f t="shared" si="39"/>
        <v>2032-33</v>
      </c>
      <c r="O87" s="180" t="str">
        <f t="shared" si="39"/>
        <v>2033-34</v>
      </c>
      <c r="P87" s="180" t="str">
        <f t="shared" si="39"/>
        <v>2034-35</v>
      </c>
      <c r="Q87" s="180" t="str">
        <f t="shared" si="39"/>
        <v>2035-36</v>
      </c>
      <c r="R87" s="180" t="str">
        <f t="shared" si="39"/>
        <v>2036-37</v>
      </c>
      <c r="S87" s="180" t="str">
        <f t="shared" si="39"/>
        <v>2037-38</v>
      </c>
      <c r="T87" s="180" t="str">
        <f t="shared" si="39"/>
        <v>2038-39</v>
      </c>
      <c r="U87" s="180" t="str">
        <f t="shared" si="39"/>
        <v>2039-40</v>
      </c>
      <c r="V87" s="180" t="str">
        <f t="shared" si="39"/>
        <v>2040-41</v>
      </c>
      <c r="W87" s="180" t="str">
        <f t="shared" si="39"/>
        <v>2041-42</v>
      </c>
      <c r="X87" s="180" t="str">
        <f t="shared" si="39"/>
        <v>2042-43</v>
      </c>
      <c r="Y87" s="180" t="str">
        <f t="shared" si="39"/>
        <v>2043-44</v>
      </c>
      <c r="Z87" s="180" t="str">
        <f t="shared" si="39"/>
        <v>2044-45</v>
      </c>
      <c r="AA87" s="180" t="str">
        <f t="shared" si="39"/>
        <v>2045-46</v>
      </c>
      <c r="AB87" s="180" t="str">
        <f t="shared" si="39"/>
        <v>2046-47</v>
      </c>
      <c r="AC87" s="180" t="str">
        <f t="shared" si="39"/>
        <v>2047-48</v>
      </c>
      <c r="AD87" s="180" t="str">
        <f t="shared" si="39"/>
        <v>2048-49</v>
      </c>
      <c r="AE87" s="180" t="str">
        <f t="shared" si="39"/>
        <v>2049-50</v>
      </c>
    </row>
    <row r="88" spans="1:31" x14ac:dyDescent="0.25">
      <c r="A88" s="191"/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3"/>
    </row>
    <row r="89" spans="1:31" x14ac:dyDescent="0.25">
      <c r="A89" s="191" t="s">
        <v>113</v>
      </c>
      <c r="B89" s="192"/>
      <c r="C89" s="192"/>
      <c r="D89" s="192"/>
      <c r="E89" s="192"/>
      <c r="F89" s="192"/>
      <c r="G89" s="192"/>
      <c r="H89" s="192"/>
      <c r="I89" s="192">
        <f>+'Project costs'!K8</f>
        <v>1554.2292516396838</v>
      </c>
      <c r="J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3"/>
    </row>
    <row r="90" spans="1:31" x14ac:dyDescent="0.25">
      <c r="A90" s="191" t="s">
        <v>114</v>
      </c>
      <c r="B90" s="192"/>
      <c r="C90" s="192"/>
      <c r="D90" s="192"/>
      <c r="E90" s="192"/>
      <c r="F90" s="192"/>
      <c r="G90" s="192"/>
      <c r="H90" s="192"/>
      <c r="I90" s="192">
        <f>+'Project costs'!M8</f>
        <v>565.39083273070219</v>
      </c>
      <c r="J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3"/>
    </row>
    <row r="91" spans="1:31" x14ac:dyDescent="0.25">
      <c r="A91" s="191"/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3"/>
    </row>
    <row r="92" spans="1:31" x14ac:dyDescent="0.25">
      <c r="A92" s="191" t="s">
        <v>170</v>
      </c>
      <c r="B92" s="192"/>
      <c r="C92" s="192"/>
      <c r="D92" s="192"/>
      <c r="E92" s="192"/>
      <c r="F92" s="192"/>
      <c r="G92" s="192"/>
      <c r="H92" s="192"/>
      <c r="I92" s="192"/>
      <c r="J92" s="192"/>
      <c r="K92" s="192">
        <f>+'Project costs'!L8</f>
        <v>1065.6990769238146</v>
      </c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3"/>
    </row>
    <row r="93" spans="1:31" x14ac:dyDescent="0.25">
      <c r="A93" s="191" t="s">
        <v>171</v>
      </c>
      <c r="B93" s="192"/>
      <c r="C93" s="192"/>
      <c r="D93" s="192"/>
      <c r="E93" s="192"/>
      <c r="F93" s="192"/>
      <c r="G93" s="192"/>
      <c r="H93" s="192"/>
      <c r="I93" s="192"/>
      <c r="J93" s="192"/>
      <c r="K93" s="192">
        <f>+'Project costs'!N8</f>
        <v>98.677821777282645</v>
      </c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  <c r="AA93" s="192"/>
      <c r="AB93" s="192"/>
      <c r="AC93" s="192"/>
      <c r="AD93" s="192"/>
      <c r="AE93" s="193"/>
    </row>
    <row r="94" spans="1:31" x14ac:dyDescent="0.25">
      <c r="A94" s="191"/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3"/>
    </row>
    <row r="95" spans="1:31" x14ac:dyDescent="0.25">
      <c r="A95" s="191" t="s">
        <v>142</v>
      </c>
      <c r="B95" s="192"/>
      <c r="C95" s="192"/>
      <c r="D95" s="192"/>
      <c r="E95" s="192"/>
      <c r="F95" s="192"/>
      <c r="G95" s="192"/>
      <c r="H95" s="192"/>
      <c r="I95" s="192">
        <f>+'Project costs'!$O8</f>
        <v>15.495291595197255</v>
      </c>
      <c r="J95" s="192">
        <f>+I95</f>
        <v>15.495291595197255</v>
      </c>
      <c r="K95" s="192">
        <f t="shared" ref="K95:AE95" si="40">+J95</f>
        <v>15.495291595197255</v>
      </c>
      <c r="L95" s="192">
        <f t="shared" si="40"/>
        <v>15.495291595197255</v>
      </c>
      <c r="M95" s="192">
        <f t="shared" si="40"/>
        <v>15.495291595197255</v>
      </c>
      <c r="N95" s="192">
        <f t="shared" si="40"/>
        <v>15.495291595197255</v>
      </c>
      <c r="O95" s="192">
        <f t="shared" si="40"/>
        <v>15.495291595197255</v>
      </c>
      <c r="P95" s="192">
        <f t="shared" si="40"/>
        <v>15.495291595197255</v>
      </c>
      <c r="Q95" s="192">
        <f t="shared" si="40"/>
        <v>15.495291595197255</v>
      </c>
      <c r="R95" s="192">
        <f t="shared" si="40"/>
        <v>15.495291595197255</v>
      </c>
      <c r="S95" s="192">
        <f t="shared" si="40"/>
        <v>15.495291595197255</v>
      </c>
      <c r="T95" s="192">
        <f t="shared" si="40"/>
        <v>15.495291595197255</v>
      </c>
      <c r="U95" s="192">
        <f t="shared" si="40"/>
        <v>15.495291595197255</v>
      </c>
      <c r="V95" s="192">
        <f t="shared" si="40"/>
        <v>15.495291595197255</v>
      </c>
      <c r="W95" s="192">
        <f t="shared" si="40"/>
        <v>15.495291595197255</v>
      </c>
      <c r="X95" s="192">
        <f t="shared" si="40"/>
        <v>15.495291595197255</v>
      </c>
      <c r="Y95" s="192">
        <f t="shared" si="40"/>
        <v>15.495291595197255</v>
      </c>
      <c r="Z95" s="192">
        <f t="shared" si="40"/>
        <v>15.495291595197255</v>
      </c>
      <c r="AA95" s="192">
        <f t="shared" si="40"/>
        <v>15.495291595197255</v>
      </c>
      <c r="AB95" s="192">
        <f t="shared" si="40"/>
        <v>15.495291595197255</v>
      </c>
      <c r="AC95" s="192">
        <f t="shared" si="40"/>
        <v>15.495291595197255</v>
      </c>
      <c r="AD95" s="192">
        <f t="shared" si="40"/>
        <v>15.495291595197255</v>
      </c>
      <c r="AE95" s="193">
        <f t="shared" si="40"/>
        <v>15.495291595197255</v>
      </c>
    </row>
    <row r="96" spans="1:31" x14ac:dyDescent="0.25">
      <c r="A96" s="191" t="s">
        <v>143</v>
      </c>
      <c r="B96" s="192"/>
      <c r="C96" s="192"/>
      <c r="D96" s="192"/>
      <c r="E96" s="192"/>
      <c r="F96" s="192"/>
      <c r="G96" s="192"/>
      <c r="H96" s="192"/>
      <c r="I96" s="192">
        <f>+'Project costs'!Q8</f>
        <v>2.7292281303602057</v>
      </c>
      <c r="J96" s="192">
        <f>+I96</f>
        <v>2.7292281303602057</v>
      </c>
      <c r="K96" s="192">
        <f t="shared" ref="K96:AE96" si="41">+J96</f>
        <v>2.7292281303602057</v>
      </c>
      <c r="L96" s="192">
        <f t="shared" si="41"/>
        <v>2.7292281303602057</v>
      </c>
      <c r="M96" s="192">
        <f t="shared" si="41"/>
        <v>2.7292281303602057</v>
      </c>
      <c r="N96" s="192">
        <f t="shared" si="41"/>
        <v>2.7292281303602057</v>
      </c>
      <c r="O96" s="192">
        <f t="shared" si="41"/>
        <v>2.7292281303602057</v>
      </c>
      <c r="P96" s="192">
        <f t="shared" si="41"/>
        <v>2.7292281303602057</v>
      </c>
      <c r="Q96" s="192">
        <f t="shared" si="41"/>
        <v>2.7292281303602057</v>
      </c>
      <c r="R96" s="192">
        <f t="shared" si="41"/>
        <v>2.7292281303602057</v>
      </c>
      <c r="S96" s="192">
        <f t="shared" si="41"/>
        <v>2.7292281303602057</v>
      </c>
      <c r="T96" s="192">
        <f t="shared" si="41"/>
        <v>2.7292281303602057</v>
      </c>
      <c r="U96" s="192">
        <f t="shared" si="41"/>
        <v>2.7292281303602057</v>
      </c>
      <c r="V96" s="192">
        <f t="shared" si="41"/>
        <v>2.7292281303602057</v>
      </c>
      <c r="W96" s="192">
        <f t="shared" si="41"/>
        <v>2.7292281303602057</v>
      </c>
      <c r="X96" s="192">
        <f t="shared" si="41"/>
        <v>2.7292281303602057</v>
      </c>
      <c r="Y96" s="192">
        <f t="shared" si="41"/>
        <v>2.7292281303602057</v>
      </c>
      <c r="Z96" s="192">
        <f t="shared" si="41"/>
        <v>2.7292281303602057</v>
      </c>
      <c r="AA96" s="192">
        <f t="shared" si="41"/>
        <v>2.7292281303602057</v>
      </c>
      <c r="AB96" s="192">
        <f t="shared" si="41"/>
        <v>2.7292281303602057</v>
      </c>
      <c r="AC96" s="192">
        <f t="shared" si="41"/>
        <v>2.7292281303602057</v>
      </c>
      <c r="AD96" s="192">
        <f t="shared" si="41"/>
        <v>2.7292281303602057</v>
      </c>
      <c r="AE96" s="193">
        <f t="shared" si="41"/>
        <v>2.7292281303602057</v>
      </c>
    </row>
    <row r="97" spans="1:31" x14ac:dyDescent="0.25">
      <c r="A97" s="191"/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3"/>
    </row>
    <row r="98" spans="1:31" x14ac:dyDescent="0.25">
      <c r="A98" s="191" t="s">
        <v>172</v>
      </c>
      <c r="B98" s="192"/>
      <c r="C98" s="192"/>
      <c r="D98" s="192"/>
      <c r="E98" s="192"/>
      <c r="F98" s="192"/>
      <c r="G98" s="192"/>
      <c r="H98" s="192"/>
      <c r="J98" s="192"/>
      <c r="K98" s="192">
        <f>+'Project costs'!$P8</f>
        <v>15.495291595197255</v>
      </c>
      <c r="L98" s="192">
        <f t="shared" ref="L98:Z99" si="42">+K98</f>
        <v>15.495291595197255</v>
      </c>
      <c r="M98" s="192">
        <f t="shared" si="42"/>
        <v>15.495291595197255</v>
      </c>
      <c r="N98" s="192">
        <f t="shared" si="42"/>
        <v>15.495291595197255</v>
      </c>
      <c r="O98" s="192">
        <f t="shared" si="42"/>
        <v>15.495291595197255</v>
      </c>
      <c r="P98" s="192">
        <f t="shared" si="42"/>
        <v>15.495291595197255</v>
      </c>
      <c r="Q98" s="192">
        <f t="shared" si="42"/>
        <v>15.495291595197255</v>
      </c>
      <c r="R98" s="192">
        <f t="shared" si="42"/>
        <v>15.495291595197255</v>
      </c>
      <c r="S98" s="192">
        <f t="shared" si="42"/>
        <v>15.495291595197255</v>
      </c>
      <c r="T98" s="192">
        <f t="shared" si="42"/>
        <v>15.495291595197255</v>
      </c>
      <c r="U98" s="192">
        <f t="shared" si="42"/>
        <v>15.495291595197255</v>
      </c>
      <c r="V98" s="192">
        <f t="shared" si="42"/>
        <v>15.495291595197255</v>
      </c>
      <c r="W98" s="192">
        <f t="shared" si="42"/>
        <v>15.495291595197255</v>
      </c>
      <c r="X98" s="192">
        <f t="shared" si="42"/>
        <v>15.495291595197255</v>
      </c>
      <c r="Y98" s="192">
        <f t="shared" si="42"/>
        <v>15.495291595197255</v>
      </c>
      <c r="Z98" s="192">
        <f t="shared" si="42"/>
        <v>15.495291595197255</v>
      </c>
      <c r="AA98" s="192">
        <f t="shared" ref="AA98:AE99" si="43">+Z98</f>
        <v>15.495291595197255</v>
      </c>
      <c r="AB98" s="192">
        <f t="shared" si="43"/>
        <v>15.495291595197255</v>
      </c>
      <c r="AC98" s="192">
        <f t="shared" si="43"/>
        <v>15.495291595197255</v>
      </c>
      <c r="AD98" s="192">
        <f t="shared" si="43"/>
        <v>15.495291595197255</v>
      </c>
      <c r="AE98" s="193">
        <f t="shared" si="43"/>
        <v>15.495291595197255</v>
      </c>
    </row>
    <row r="99" spans="1:31" x14ac:dyDescent="0.25">
      <c r="A99" s="194" t="s">
        <v>173</v>
      </c>
      <c r="B99" s="158"/>
      <c r="C99" s="158"/>
      <c r="D99" s="158"/>
      <c r="E99" s="158"/>
      <c r="F99" s="158"/>
      <c r="G99" s="158"/>
      <c r="H99" s="158"/>
      <c r="I99" s="158"/>
      <c r="J99" s="158"/>
      <c r="K99" s="158">
        <f>'Project costs'!R8</f>
        <v>2.7292281303602057</v>
      </c>
      <c r="L99" s="158">
        <f t="shared" si="42"/>
        <v>2.7292281303602057</v>
      </c>
      <c r="M99" s="158">
        <f t="shared" si="42"/>
        <v>2.7292281303602057</v>
      </c>
      <c r="N99" s="158">
        <f t="shared" si="42"/>
        <v>2.7292281303602057</v>
      </c>
      <c r="O99" s="158">
        <f t="shared" si="42"/>
        <v>2.7292281303602057</v>
      </c>
      <c r="P99" s="158">
        <f t="shared" si="42"/>
        <v>2.7292281303602057</v>
      </c>
      <c r="Q99" s="158">
        <f t="shared" si="42"/>
        <v>2.7292281303602057</v>
      </c>
      <c r="R99" s="158">
        <f t="shared" si="42"/>
        <v>2.7292281303602057</v>
      </c>
      <c r="S99" s="158">
        <f t="shared" si="42"/>
        <v>2.7292281303602057</v>
      </c>
      <c r="T99" s="158">
        <f t="shared" si="42"/>
        <v>2.7292281303602057</v>
      </c>
      <c r="U99" s="158">
        <f t="shared" si="42"/>
        <v>2.7292281303602057</v>
      </c>
      <c r="V99" s="158">
        <f t="shared" si="42"/>
        <v>2.7292281303602057</v>
      </c>
      <c r="W99" s="158">
        <f t="shared" si="42"/>
        <v>2.7292281303602057</v>
      </c>
      <c r="X99" s="158">
        <f t="shared" si="42"/>
        <v>2.7292281303602057</v>
      </c>
      <c r="Y99" s="158">
        <f t="shared" si="42"/>
        <v>2.7292281303602057</v>
      </c>
      <c r="Z99" s="158">
        <f t="shared" si="42"/>
        <v>2.7292281303602057</v>
      </c>
      <c r="AA99" s="158">
        <f t="shared" si="43"/>
        <v>2.7292281303602057</v>
      </c>
      <c r="AB99" s="158">
        <f t="shared" si="43"/>
        <v>2.7292281303602057</v>
      </c>
      <c r="AC99" s="158">
        <f t="shared" si="43"/>
        <v>2.7292281303602057</v>
      </c>
      <c r="AD99" s="158">
        <f t="shared" si="43"/>
        <v>2.7292281303602057</v>
      </c>
      <c r="AE99" s="195">
        <f t="shared" si="43"/>
        <v>2.7292281303602057</v>
      </c>
    </row>
    <row r="100" spans="1:31" x14ac:dyDescent="0.25">
      <c r="A100" s="185" t="s">
        <v>115</v>
      </c>
      <c r="B100" s="192">
        <f t="shared" ref="B100:AE100" si="44">SUM(B89:B99)</f>
        <v>0</v>
      </c>
      <c r="C100" s="192">
        <f t="shared" si="44"/>
        <v>0</v>
      </c>
      <c r="D100" s="192">
        <f t="shared" si="44"/>
        <v>0</v>
      </c>
      <c r="E100" s="192">
        <f t="shared" si="44"/>
        <v>0</v>
      </c>
      <c r="F100" s="192">
        <f t="shared" si="44"/>
        <v>0</v>
      </c>
      <c r="G100" s="192">
        <f t="shared" si="44"/>
        <v>0</v>
      </c>
      <c r="H100" s="192">
        <f t="shared" si="44"/>
        <v>0</v>
      </c>
      <c r="I100" s="192">
        <f>SUM(I89:I99)</f>
        <v>2137.8446040959434</v>
      </c>
      <c r="J100" s="192">
        <f t="shared" si="44"/>
        <v>18.22451972555746</v>
      </c>
      <c r="K100" s="192">
        <f t="shared" si="44"/>
        <v>1200.8259381522121</v>
      </c>
      <c r="L100" s="192">
        <f t="shared" si="44"/>
        <v>36.44903945111492</v>
      </c>
      <c r="M100" s="192">
        <f t="shared" si="44"/>
        <v>36.44903945111492</v>
      </c>
      <c r="N100" s="192">
        <f t="shared" si="44"/>
        <v>36.44903945111492</v>
      </c>
      <c r="O100" s="192">
        <f t="shared" si="44"/>
        <v>36.44903945111492</v>
      </c>
      <c r="P100" s="192">
        <f t="shared" si="44"/>
        <v>36.44903945111492</v>
      </c>
      <c r="Q100" s="192">
        <f t="shared" si="44"/>
        <v>36.44903945111492</v>
      </c>
      <c r="R100" s="192">
        <f t="shared" si="44"/>
        <v>36.44903945111492</v>
      </c>
      <c r="S100" s="192">
        <f t="shared" si="44"/>
        <v>36.44903945111492</v>
      </c>
      <c r="T100" s="192">
        <f t="shared" si="44"/>
        <v>36.44903945111492</v>
      </c>
      <c r="U100" s="192">
        <f t="shared" si="44"/>
        <v>36.44903945111492</v>
      </c>
      <c r="V100" s="192">
        <f t="shared" si="44"/>
        <v>36.44903945111492</v>
      </c>
      <c r="W100" s="192">
        <f t="shared" si="44"/>
        <v>36.44903945111492</v>
      </c>
      <c r="X100" s="192">
        <f t="shared" si="44"/>
        <v>36.44903945111492</v>
      </c>
      <c r="Y100" s="192">
        <f t="shared" si="44"/>
        <v>36.44903945111492</v>
      </c>
      <c r="Z100" s="192">
        <f t="shared" si="44"/>
        <v>36.44903945111492</v>
      </c>
      <c r="AA100" s="192">
        <f t="shared" si="44"/>
        <v>36.44903945111492</v>
      </c>
      <c r="AB100" s="192">
        <f t="shared" si="44"/>
        <v>36.44903945111492</v>
      </c>
      <c r="AC100" s="192">
        <f t="shared" si="44"/>
        <v>36.44903945111492</v>
      </c>
      <c r="AD100" s="192">
        <f t="shared" si="44"/>
        <v>36.44903945111492</v>
      </c>
      <c r="AE100" s="193">
        <f t="shared" si="44"/>
        <v>36.44903945111492</v>
      </c>
    </row>
    <row r="101" spans="1:31" x14ac:dyDescent="0.25">
      <c r="A101" s="185" t="s">
        <v>116</v>
      </c>
      <c r="B101" s="192">
        <v>0</v>
      </c>
      <c r="C101" s="192">
        <v>0</v>
      </c>
      <c r="D101" s="192">
        <v>0</v>
      </c>
      <c r="E101" s="192">
        <v>0</v>
      </c>
      <c r="F101" s="192">
        <v>0</v>
      </c>
      <c r="G101" s="192">
        <v>0</v>
      </c>
      <c r="H101" s="192">
        <v>0</v>
      </c>
      <c r="I101" s="192">
        <v>0</v>
      </c>
      <c r="J101" s="192">
        <v>0</v>
      </c>
      <c r="K101" s="192">
        <v>0</v>
      </c>
      <c r="L101" s="192">
        <v>0</v>
      </c>
      <c r="M101" s="192">
        <v>0</v>
      </c>
      <c r="N101" s="192">
        <v>0</v>
      </c>
      <c r="O101" s="192">
        <v>0</v>
      </c>
      <c r="P101" s="192">
        <v>0</v>
      </c>
      <c r="Q101" s="192">
        <v>0</v>
      </c>
      <c r="R101" s="192">
        <v>0</v>
      </c>
      <c r="S101" s="192">
        <v>0</v>
      </c>
      <c r="T101" s="192">
        <v>0</v>
      </c>
      <c r="U101" s="192">
        <v>0</v>
      </c>
      <c r="V101" s="192">
        <v>0</v>
      </c>
      <c r="W101" s="192">
        <v>0</v>
      </c>
      <c r="X101" s="192">
        <v>0</v>
      </c>
      <c r="Y101" s="192">
        <v>0</v>
      </c>
      <c r="Z101" s="192">
        <v>0</v>
      </c>
      <c r="AA101" s="192">
        <v>0</v>
      </c>
      <c r="AB101" s="192">
        <v>0</v>
      </c>
      <c r="AC101" s="192">
        <v>0</v>
      </c>
      <c r="AD101" s="192">
        <v>0</v>
      </c>
      <c r="AE101" s="238">
        <f>((+I89-(I89/40*SUM(I86:AE86,-1))+(I90-(I90/60*SUM(I86:AE86,-1))))+(+K92-(K92/40*SUM(K86:AE86,-1))+(K93-(K93/60*SUM(K86:AE86,-1)))))*-1</f>
        <v>-1656.1187769473979</v>
      </c>
    </row>
    <row r="102" spans="1:31" x14ac:dyDescent="0.25">
      <c r="A102" s="185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63"/>
    </row>
    <row r="103" spans="1:31" x14ac:dyDescent="0.25">
      <c r="A103" s="164" t="s">
        <v>154</v>
      </c>
      <c r="B103" s="196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63"/>
    </row>
    <row r="104" spans="1:31" x14ac:dyDescent="0.25">
      <c r="A104" s="185" t="s">
        <v>160</v>
      </c>
      <c r="B104" s="196">
        <f>+XNPV(SlowWACC,$B$100:$AE$100,$B$10:$AE$10)+XNPV(SlowWACC,$B$101:$AE$101,$B$10:$AE$10)</f>
        <v>2317.4191533438279</v>
      </c>
      <c r="C104" s="198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63"/>
    </row>
    <row r="105" spans="1:31" x14ac:dyDescent="0.25">
      <c r="A105" s="217" t="s">
        <v>151</v>
      </c>
      <c r="B105" s="196">
        <f>+XNPV(NotSlowWACC,$B$100:$AE$100,$B$10:$AE$10)+XNPV(NotSlowWACC,$B$101:$AE$101,$B$10:$AE$10)</f>
        <v>2217.3111100632482</v>
      </c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63"/>
    </row>
    <row r="106" spans="1:31" x14ac:dyDescent="0.25">
      <c r="A106" s="185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63"/>
    </row>
    <row r="107" spans="1:31" x14ac:dyDescent="0.25">
      <c r="A107" s="185"/>
      <c r="B107" s="197"/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63"/>
    </row>
    <row r="108" spans="1:31" x14ac:dyDescent="0.25">
      <c r="A108" s="46" t="s">
        <v>1</v>
      </c>
      <c r="B108" s="237" t="s">
        <v>150</v>
      </c>
      <c r="C108" s="237" t="str">
        <f>+B22</f>
        <v>Central</v>
      </c>
      <c r="D108" s="237" t="str">
        <f>+B37</f>
        <v>High DER</v>
      </c>
      <c r="E108" s="237" t="str">
        <f>+B52</f>
        <v xml:space="preserve">Fast Change </v>
      </c>
      <c r="F108" s="237" t="str">
        <f>+B67</f>
        <v>Step Change</v>
      </c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63"/>
    </row>
    <row r="109" spans="1:31" x14ac:dyDescent="0.25">
      <c r="A109" s="164" t="s">
        <v>118</v>
      </c>
      <c r="B109" s="196">
        <f>+B17</f>
        <v>4187.175315288674</v>
      </c>
      <c r="C109" s="196">
        <f>+B32</f>
        <v>3422.5579416714627</v>
      </c>
      <c r="D109" s="196">
        <f>+B47</f>
        <v>3433.8737508690811</v>
      </c>
      <c r="E109" s="196">
        <f>+B62</f>
        <v>3652.8426183364272</v>
      </c>
      <c r="F109" s="196">
        <f>+B77</f>
        <v>5366.9073351685183</v>
      </c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63"/>
    </row>
    <row r="110" spans="1:31" ht="15.75" thickBot="1" x14ac:dyDescent="0.3">
      <c r="A110" s="199" t="s">
        <v>161</v>
      </c>
      <c r="B110" s="186">
        <f>+B104</f>
        <v>2317.4191533438279</v>
      </c>
      <c r="C110" s="186">
        <f>+B105</f>
        <v>2217.3111100632482</v>
      </c>
      <c r="D110" s="186">
        <f>+B105</f>
        <v>2217.3111100632482</v>
      </c>
      <c r="E110" s="186">
        <f>+B105</f>
        <v>2217.3111100632482</v>
      </c>
      <c r="F110" s="186">
        <f>+B105</f>
        <v>2217.3111100632482</v>
      </c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63"/>
    </row>
    <row r="111" spans="1:31" ht="15.75" thickTop="1" x14ac:dyDescent="0.25">
      <c r="A111" s="164" t="s">
        <v>119</v>
      </c>
      <c r="B111" s="196">
        <f>+B109-B110</f>
        <v>1869.7561619448461</v>
      </c>
      <c r="C111" s="196">
        <f>+C109-C110</f>
        <v>1205.2468316082145</v>
      </c>
      <c r="D111" s="196">
        <f t="shared" ref="D111:F111" si="45">+D109-D110</f>
        <v>1216.5626408058329</v>
      </c>
      <c r="E111" s="196">
        <f t="shared" si="45"/>
        <v>1435.531508273179</v>
      </c>
      <c r="F111" s="196">
        <f t="shared" si="45"/>
        <v>3149.5962251052702</v>
      </c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63"/>
    </row>
    <row r="112" spans="1:31" ht="15.75" thickBot="1" x14ac:dyDescent="0.3">
      <c r="A112" s="200"/>
      <c r="B112" s="201"/>
      <c r="C112" s="201"/>
      <c r="D112" s="201"/>
      <c r="E112" s="201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202"/>
    </row>
    <row r="113" spans="1:31" ht="19.5" thickBot="1" x14ac:dyDescent="0.35">
      <c r="A113" s="219" t="s">
        <v>152</v>
      </c>
      <c r="B113" s="220"/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2"/>
    </row>
    <row r="114" spans="1:31" ht="15.75" thickTop="1" x14ac:dyDescent="0.25">
      <c r="A114" s="223" t="str">
        <f>A6</f>
        <v>Option 3:  600 MW in 2027 and 600 MW in 2029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224"/>
    </row>
    <row r="115" spans="1:31" x14ac:dyDescent="0.25">
      <c r="A115" s="225" t="str">
        <f>A7</f>
        <v xml:space="preserve">Scenario: </v>
      </c>
      <c r="B115" s="74" t="str">
        <f>B7</f>
        <v xml:space="preserve">Slow Change 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226"/>
    </row>
    <row r="116" spans="1:31" x14ac:dyDescent="0.25">
      <c r="A116" s="227"/>
      <c r="B116" s="203">
        <v>1</v>
      </c>
      <c r="C116" s="204">
        <v>1</v>
      </c>
      <c r="D116" s="204">
        <v>1</v>
      </c>
      <c r="E116" s="204">
        <v>1</v>
      </c>
      <c r="F116" s="204">
        <v>1</v>
      </c>
      <c r="G116" s="204">
        <v>1</v>
      </c>
      <c r="H116" s="204">
        <v>1</v>
      </c>
      <c r="I116" s="204">
        <v>1</v>
      </c>
      <c r="J116" s="204">
        <v>1</v>
      </c>
      <c r="K116" s="204">
        <v>1</v>
      </c>
      <c r="L116" s="204">
        <v>1</v>
      </c>
      <c r="M116" s="204">
        <v>1</v>
      </c>
      <c r="N116" s="204">
        <v>1</v>
      </c>
      <c r="O116" s="204">
        <v>1</v>
      </c>
      <c r="P116" s="204">
        <v>1</v>
      </c>
      <c r="Q116" s="204">
        <v>1</v>
      </c>
      <c r="R116" s="204">
        <v>1</v>
      </c>
      <c r="S116" s="204">
        <v>1</v>
      </c>
      <c r="T116" s="204">
        <v>1</v>
      </c>
      <c r="U116" s="204">
        <v>1</v>
      </c>
      <c r="V116" s="204">
        <v>1</v>
      </c>
      <c r="W116" s="204">
        <v>1</v>
      </c>
      <c r="X116" s="204">
        <v>1</v>
      </c>
      <c r="Y116" s="204">
        <v>1</v>
      </c>
      <c r="Z116" s="204">
        <v>1</v>
      </c>
      <c r="AA116" s="204">
        <v>1</v>
      </c>
      <c r="AB116" s="204">
        <v>1</v>
      </c>
      <c r="AC116" s="204">
        <v>1</v>
      </c>
      <c r="AD116" s="204">
        <v>1</v>
      </c>
      <c r="AE116" s="228">
        <v>1</v>
      </c>
    </row>
    <row r="117" spans="1:31" x14ac:dyDescent="0.25">
      <c r="A117" s="229" t="s">
        <v>39</v>
      </c>
      <c r="B117" s="180" t="str">
        <f>+B87</f>
        <v>2020-21</v>
      </c>
      <c r="C117" s="180" t="str">
        <f t="shared" ref="C117:AE117" si="46">+C87</f>
        <v>2021-22</v>
      </c>
      <c r="D117" s="180" t="str">
        <f t="shared" si="46"/>
        <v>2022-23</v>
      </c>
      <c r="E117" s="180" t="str">
        <f t="shared" si="46"/>
        <v>2023-24</v>
      </c>
      <c r="F117" s="180" t="str">
        <f t="shared" si="46"/>
        <v>2024-25</v>
      </c>
      <c r="G117" s="180" t="str">
        <f t="shared" si="46"/>
        <v>2025-26</v>
      </c>
      <c r="H117" s="180" t="str">
        <f t="shared" si="46"/>
        <v>2026-27</v>
      </c>
      <c r="I117" s="180" t="str">
        <f t="shared" si="46"/>
        <v>2027-28</v>
      </c>
      <c r="J117" s="180" t="str">
        <f t="shared" si="46"/>
        <v>2028-29</v>
      </c>
      <c r="K117" s="180" t="str">
        <f t="shared" si="46"/>
        <v>2029-30</v>
      </c>
      <c r="L117" s="180" t="str">
        <f t="shared" si="46"/>
        <v>2030-31</v>
      </c>
      <c r="M117" s="180" t="str">
        <f t="shared" si="46"/>
        <v>2031-32</v>
      </c>
      <c r="N117" s="180" t="str">
        <f t="shared" si="46"/>
        <v>2032-33</v>
      </c>
      <c r="O117" s="180" t="str">
        <f t="shared" si="46"/>
        <v>2033-34</v>
      </c>
      <c r="P117" s="180" t="str">
        <f t="shared" si="46"/>
        <v>2034-35</v>
      </c>
      <c r="Q117" s="180" t="str">
        <f t="shared" si="46"/>
        <v>2035-36</v>
      </c>
      <c r="R117" s="180" t="str">
        <f t="shared" si="46"/>
        <v>2036-37</v>
      </c>
      <c r="S117" s="180" t="str">
        <f t="shared" si="46"/>
        <v>2037-38</v>
      </c>
      <c r="T117" s="180" t="str">
        <f t="shared" si="46"/>
        <v>2038-39</v>
      </c>
      <c r="U117" s="180" t="str">
        <f t="shared" si="46"/>
        <v>2039-40</v>
      </c>
      <c r="V117" s="180" t="str">
        <f t="shared" si="46"/>
        <v>2040-41</v>
      </c>
      <c r="W117" s="180" t="str">
        <f t="shared" si="46"/>
        <v>2041-42</v>
      </c>
      <c r="X117" s="180" t="str">
        <f t="shared" si="46"/>
        <v>2042-43</v>
      </c>
      <c r="Y117" s="180" t="str">
        <f t="shared" si="46"/>
        <v>2043-44</v>
      </c>
      <c r="Z117" s="180" t="str">
        <f t="shared" si="46"/>
        <v>2044-45</v>
      </c>
      <c r="AA117" s="180" t="str">
        <f t="shared" si="46"/>
        <v>2045-46</v>
      </c>
      <c r="AB117" s="180" t="str">
        <f t="shared" si="46"/>
        <v>2046-47</v>
      </c>
      <c r="AC117" s="180" t="str">
        <f t="shared" si="46"/>
        <v>2047-48</v>
      </c>
      <c r="AD117" s="180" t="str">
        <f t="shared" si="46"/>
        <v>2048-49</v>
      </c>
      <c r="AE117" s="230" t="str">
        <f t="shared" si="46"/>
        <v>2049-50</v>
      </c>
    </row>
    <row r="118" spans="1:31" x14ac:dyDescent="0.25">
      <c r="A118" s="191"/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3"/>
    </row>
    <row r="119" spans="1:31" x14ac:dyDescent="0.25">
      <c r="A119" s="191" t="s">
        <v>136</v>
      </c>
      <c r="B119" s="192">
        <f t="shared" ref="B119:AE119" si="47">+B15</f>
        <v>0</v>
      </c>
      <c r="C119" s="192">
        <f t="shared" si="47"/>
        <v>-1.0738057890519025E-3</v>
      </c>
      <c r="D119" s="192">
        <f t="shared" si="47"/>
        <v>-0.84491809742058632</v>
      </c>
      <c r="E119" s="192">
        <f t="shared" si="47"/>
        <v>-1.1608314292335553</v>
      </c>
      <c r="F119" s="192">
        <f t="shared" si="47"/>
        <v>-16.768003017326372</v>
      </c>
      <c r="G119" s="192">
        <f t="shared" si="47"/>
        <v>20.089638312875124</v>
      </c>
      <c r="H119" s="192">
        <f t="shared" si="47"/>
        <v>12.408133297536642</v>
      </c>
      <c r="I119" s="192">
        <f t="shared" si="47"/>
        <v>150.59242997363884</v>
      </c>
      <c r="J119" s="192">
        <f t="shared" si="47"/>
        <v>574.3570891147798</v>
      </c>
      <c r="K119" s="192">
        <f t="shared" si="47"/>
        <v>245.4458392258648</v>
      </c>
      <c r="L119" s="192">
        <f t="shared" si="47"/>
        <v>236.8722023008456</v>
      </c>
      <c r="M119" s="192">
        <f t="shared" si="47"/>
        <v>220.12427080913469</v>
      </c>
      <c r="N119" s="192">
        <f t="shared" si="47"/>
        <v>244.147582747982</v>
      </c>
      <c r="O119" s="192">
        <f t="shared" si="47"/>
        <v>250.67107936571261</v>
      </c>
      <c r="P119" s="192">
        <f t="shared" si="47"/>
        <v>265.03297530838398</v>
      </c>
      <c r="Q119" s="192">
        <f t="shared" si="47"/>
        <v>233.64161050665848</v>
      </c>
      <c r="R119" s="192">
        <f t="shared" si="47"/>
        <v>246.64858863204392</v>
      </c>
      <c r="S119" s="192">
        <f t="shared" si="47"/>
        <v>294.79467842381194</v>
      </c>
      <c r="T119" s="192">
        <f t="shared" si="47"/>
        <v>757.5989036825531</v>
      </c>
      <c r="U119" s="192">
        <f t="shared" si="47"/>
        <v>383.15098696784406</v>
      </c>
      <c r="V119" s="192">
        <f t="shared" si="47"/>
        <v>320.65136410596165</v>
      </c>
      <c r="W119" s="192">
        <f t="shared" si="47"/>
        <v>294.77351653439223</v>
      </c>
      <c r="X119" s="192">
        <f t="shared" si="47"/>
        <v>329.57864431504817</v>
      </c>
      <c r="Y119" s="192">
        <f t="shared" si="47"/>
        <v>368.74112199559949</v>
      </c>
      <c r="Z119" s="192">
        <f t="shared" si="47"/>
        <v>384.58501659563046</v>
      </c>
      <c r="AA119" s="192">
        <f t="shared" si="47"/>
        <v>370.65408667078282</v>
      </c>
      <c r="AB119" s="192">
        <f t="shared" si="47"/>
        <v>371.21910795542738</v>
      </c>
      <c r="AC119" s="192">
        <f t="shared" si="47"/>
        <v>361.18111352538222</v>
      </c>
      <c r="AD119" s="192">
        <f t="shared" si="47"/>
        <v>717.1715331241893</v>
      </c>
      <c r="AE119" s="193">
        <f t="shared" si="47"/>
        <v>785.27783413469979</v>
      </c>
    </row>
    <row r="120" spans="1:31" x14ac:dyDescent="0.25">
      <c r="A120" s="194" t="s">
        <v>137</v>
      </c>
      <c r="B120" s="158">
        <v>0</v>
      </c>
      <c r="C120" s="158">
        <v>0</v>
      </c>
      <c r="D120" s="158">
        <v>0</v>
      </c>
      <c r="E120" s="158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>
        <v>0</v>
      </c>
      <c r="L120" s="158">
        <v>0</v>
      </c>
      <c r="M120" s="158">
        <v>0</v>
      </c>
      <c r="N120" s="158">
        <v>0</v>
      </c>
      <c r="O120" s="158">
        <v>0</v>
      </c>
      <c r="P120" s="158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58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95">
        <f>+PV(SlowWACC,(40-SUM(I116:AE116)),AVERAGE(Y119:AC119))*-1</f>
        <v>4587.6959063918957</v>
      </c>
    </row>
    <row r="121" spans="1:31" x14ac:dyDescent="0.25">
      <c r="A121" s="185" t="s">
        <v>138</v>
      </c>
      <c r="B121" s="192">
        <f>SUM(B119:B120)</f>
        <v>0</v>
      </c>
      <c r="C121" s="192">
        <f t="shared" ref="C121:AE121" si="48">SUM(C119:C120)</f>
        <v>-1.0738057890519025E-3</v>
      </c>
      <c r="D121" s="192">
        <f t="shared" si="48"/>
        <v>-0.84491809742058632</v>
      </c>
      <c r="E121" s="192">
        <f t="shared" si="48"/>
        <v>-1.1608314292335553</v>
      </c>
      <c r="F121" s="192">
        <f t="shared" si="48"/>
        <v>-16.768003017326372</v>
      </c>
      <c r="G121" s="192">
        <f t="shared" si="48"/>
        <v>20.089638312875124</v>
      </c>
      <c r="H121" s="192">
        <f t="shared" si="48"/>
        <v>12.408133297536642</v>
      </c>
      <c r="I121" s="192">
        <f t="shared" si="48"/>
        <v>150.59242997363884</v>
      </c>
      <c r="J121" s="192">
        <f t="shared" si="48"/>
        <v>574.3570891147798</v>
      </c>
      <c r="K121" s="192">
        <f t="shared" si="48"/>
        <v>245.4458392258648</v>
      </c>
      <c r="L121" s="192">
        <f t="shared" si="48"/>
        <v>236.8722023008456</v>
      </c>
      <c r="M121" s="192">
        <f t="shared" si="48"/>
        <v>220.12427080913469</v>
      </c>
      <c r="N121" s="192">
        <f t="shared" si="48"/>
        <v>244.147582747982</v>
      </c>
      <c r="O121" s="192">
        <f t="shared" si="48"/>
        <v>250.67107936571261</v>
      </c>
      <c r="P121" s="192">
        <f t="shared" si="48"/>
        <v>265.03297530838398</v>
      </c>
      <c r="Q121" s="192">
        <f t="shared" si="48"/>
        <v>233.64161050665848</v>
      </c>
      <c r="R121" s="192">
        <f t="shared" si="48"/>
        <v>246.64858863204392</v>
      </c>
      <c r="S121" s="192">
        <f t="shared" si="48"/>
        <v>294.79467842381194</v>
      </c>
      <c r="T121" s="192">
        <f t="shared" si="48"/>
        <v>757.5989036825531</v>
      </c>
      <c r="U121" s="192">
        <f t="shared" si="48"/>
        <v>383.15098696784406</v>
      </c>
      <c r="V121" s="192">
        <f t="shared" si="48"/>
        <v>320.65136410596165</v>
      </c>
      <c r="W121" s="192">
        <f t="shared" si="48"/>
        <v>294.77351653439223</v>
      </c>
      <c r="X121" s="192">
        <f t="shared" si="48"/>
        <v>329.57864431504817</v>
      </c>
      <c r="Y121" s="192">
        <f t="shared" si="48"/>
        <v>368.74112199559949</v>
      </c>
      <c r="Z121" s="192">
        <f t="shared" si="48"/>
        <v>384.58501659563046</v>
      </c>
      <c r="AA121" s="192">
        <f t="shared" si="48"/>
        <v>370.65408667078282</v>
      </c>
      <c r="AB121" s="192">
        <f t="shared" si="48"/>
        <v>371.21910795542738</v>
      </c>
      <c r="AC121" s="192">
        <f t="shared" si="48"/>
        <v>361.18111352538222</v>
      </c>
      <c r="AD121" s="192">
        <f t="shared" si="48"/>
        <v>717.1715331241893</v>
      </c>
      <c r="AE121" s="193">
        <f t="shared" si="48"/>
        <v>5372.9737405265951</v>
      </c>
    </row>
    <row r="122" spans="1:31" x14ac:dyDescent="0.25">
      <c r="A122" s="185"/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3"/>
    </row>
    <row r="123" spans="1:31" x14ac:dyDescent="0.25">
      <c r="A123" s="185" t="s">
        <v>139</v>
      </c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3"/>
    </row>
    <row r="124" spans="1:31" x14ac:dyDescent="0.25">
      <c r="A124" s="185" t="s">
        <v>182</v>
      </c>
      <c r="B124" s="192">
        <v>0</v>
      </c>
      <c r="C124" s="192">
        <v>0</v>
      </c>
      <c r="D124" s="192">
        <v>0</v>
      </c>
      <c r="E124" s="192">
        <v>0</v>
      </c>
      <c r="F124" s="192">
        <v>0</v>
      </c>
      <c r="G124" s="192">
        <v>0</v>
      </c>
      <c r="H124" s="192">
        <v>0</v>
      </c>
      <c r="I124" s="192">
        <v>0</v>
      </c>
      <c r="J124" s="192">
        <v>0</v>
      </c>
      <c r="K124" s="192">
        <v>0</v>
      </c>
      <c r="L124" s="192">
        <v>0</v>
      </c>
      <c r="M124" s="192">
        <v>0</v>
      </c>
      <c r="N124" s="192">
        <v>0</v>
      </c>
      <c r="O124" s="192">
        <v>0</v>
      </c>
      <c r="P124" s="192">
        <v>0</v>
      </c>
      <c r="Q124" s="192">
        <v>0</v>
      </c>
      <c r="R124" s="192">
        <v>0</v>
      </c>
      <c r="S124" s="192">
        <v>0</v>
      </c>
      <c r="T124" s="192">
        <v>0</v>
      </c>
      <c r="U124" s="192">
        <v>0</v>
      </c>
      <c r="V124" s="192">
        <v>0</v>
      </c>
      <c r="W124" s="192">
        <v>0</v>
      </c>
      <c r="X124" s="192">
        <v>0</v>
      </c>
      <c r="Y124" s="192">
        <v>0</v>
      </c>
      <c r="Z124" s="192">
        <v>0</v>
      </c>
      <c r="AA124" s="192">
        <v>0</v>
      </c>
      <c r="AB124" s="192">
        <v>0</v>
      </c>
      <c r="AC124" s="192">
        <v>0</v>
      </c>
      <c r="AD124" s="192">
        <v>0</v>
      </c>
      <c r="AE124" s="193">
        <f>+PV(SlowWACC,40-SUM(I116:AE116),AVERAGE(AA98:AE98)*2)*-1</f>
        <v>382.93705336298166</v>
      </c>
    </row>
    <row r="125" spans="1:31" x14ac:dyDescent="0.25">
      <c r="A125" s="231" t="s">
        <v>183</v>
      </c>
      <c r="B125" s="158">
        <v>0</v>
      </c>
      <c r="C125" s="158">
        <v>0</v>
      </c>
      <c r="D125" s="158">
        <v>0</v>
      </c>
      <c r="E125" s="158">
        <v>0</v>
      </c>
      <c r="F125" s="158">
        <v>0</v>
      </c>
      <c r="G125" s="158">
        <v>0</v>
      </c>
      <c r="H125" s="158">
        <v>0</v>
      </c>
      <c r="I125" s="158">
        <v>0</v>
      </c>
      <c r="J125" s="158">
        <v>0</v>
      </c>
      <c r="K125" s="158">
        <v>0</v>
      </c>
      <c r="L125" s="158">
        <v>0</v>
      </c>
      <c r="M125" s="158">
        <v>0</v>
      </c>
      <c r="N125" s="158">
        <v>0</v>
      </c>
      <c r="O125" s="158">
        <v>0</v>
      </c>
      <c r="P125" s="158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58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95">
        <f>+PV(SlowWACC,40-SUM(I116:AE116),AVERAGE(AA99:AE99)*2)*-1</f>
        <v>67.447751581482407</v>
      </c>
    </row>
    <row r="126" spans="1:31" x14ac:dyDescent="0.25">
      <c r="A126" s="185" t="s">
        <v>144</v>
      </c>
      <c r="B126" s="232">
        <f>+SUM(B124:B125)</f>
        <v>0</v>
      </c>
      <c r="C126" s="232">
        <f t="shared" ref="C126:AE126" si="49">+SUM(C124:C125)</f>
        <v>0</v>
      </c>
      <c r="D126" s="232">
        <f t="shared" si="49"/>
        <v>0</v>
      </c>
      <c r="E126" s="232">
        <f t="shared" si="49"/>
        <v>0</v>
      </c>
      <c r="F126" s="232">
        <f t="shared" si="49"/>
        <v>0</v>
      </c>
      <c r="G126" s="232">
        <f t="shared" si="49"/>
        <v>0</v>
      </c>
      <c r="H126" s="232">
        <f t="shared" si="49"/>
        <v>0</v>
      </c>
      <c r="I126" s="232">
        <f t="shared" si="49"/>
        <v>0</v>
      </c>
      <c r="J126" s="232">
        <f t="shared" si="49"/>
        <v>0</v>
      </c>
      <c r="K126" s="232">
        <f t="shared" si="49"/>
        <v>0</v>
      </c>
      <c r="L126" s="232">
        <f t="shared" si="49"/>
        <v>0</v>
      </c>
      <c r="M126" s="232">
        <f t="shared" si="49"/>
        <v>0</v>
      </c>
      <c r="N126" s="232">
        <f t="shared" si="49"/>
        <v>0</v>
      </c>
      <c r="O126" s="232">
        <f t="shared" si="49"/>
        <v>0</v>
      </c>
      <c r="P126" s="232">
        <f t="shared" si="49"/>
        <v>0</v>
      </c>
      <c r="Q126" s="232">
        <f t="shared" si="49"/>
        <v>0</v>
      </c>
      <c r="R126" s="232">
        <f t="shared" si="49"/>
        <v>0</v>
      </c>
      <c r="S126" s="232">
        <f t="shared" si="49"/>
        <v>0</v>
      </c>
      <c r="T126" s="232">
        <f t="shared" si="49"/>
        <v>0</v>
      </c>
      <c r="U126" s="232">
        <f t="shared" si="49"/>
        <v>0</v>
      </c>
      <c r="V126" s="232">
        <f t="shared" si="49"/>
        <v>0</v>
      </c>
      <c r="W126" s="232">
        <f t="shared" si="49"/>
        <v>0</v>
      </c>
      <c r="X126" s="232">
        <f t="shared" si="49"/>
        <v>0</v>
      </c>
      <c r="Y126" s="232">
        <f t="shared" si="49"/>
        <v>0</v>
      </c>
      <c r="Z126" s="232">
        <f t="shared" si="49"/>
        <v>0</v>
      </c>
      <c r="AA126" s="232">
        <f t="shared" si="49"/>
        <v>0</v>
      </c>
      <c r="AB126" s="232">
        <f t="shared" si="49"/>
        <v>0</v>
      </c>
      <c r="AC126" s="232">
        <f t="shared" si="49"/>
        <v>0</v>
      </c>
      <c r="AD126" s="232">
        <f t="shared" si="49"/>
        <v>0</v>
      </c>
      <c r="AE126" s="233">
        <f t="shared" si="49"/>
        <v>450.38480494446407</v>
      </c>
    </row>
    <row r="127" spans="1:31" x14ac:dyDescent="0.25">
      <c r="A127" s="185"/>
      <c r="B127" s="184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3"/>
    </row>
    <row r="128" spans="1:31" x14ac:dyDescent="0.25">
      <c r="A128" s="185" t="s">
        <v>118</v>
      </c>
      <c r="B128" s="196">
        <f>XNPV(SlowWACC,B121:AE121,$B$10:$AE$10)</f>
        <v>5741.5679763400158</v>
      </c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63"/>
    </row>
    <row r="129" spans="1:31" ht="15.75" thickBot="1" x14ac:dyDescent="0.3">
      <c r="A129" s="234" t="s">
        <v>117</v>
      </c>
      <c r="B129" s="186">
        <f>+B104+XNPV(SlowWACC,$B$126:$AE$126,$B$10:$AE$10)</f>
        <v>2470.0175054881629</v>
      </c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63"/>
    </row>
    <row r="130" spans="1:31" ht="15.75" thickTop="1" x14ac:dyDescent="0.25">
      <c r="A130" s="164" t="s">
        <v>119</v>
      </c>
      <c r="B130" s="196">
        <f>+B128-B129</f>
        <v>3271.5504708518529</v>
      </c>
      <c r="C130" s="184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4"/>
      <c r="AE130" s="163"/>
    </row>
    <row r="131" spans="1:31" ht="15.75" thickBot="1" x14ac:dyDescent="0.3">
      <c r="A131" s="164"/>
      <c r="B131" s="196"/>
      <c r="C131" s="184"/>
      <c r="D131" s="184"/>
      <c r="E131" s="184"/>
      <c r="F131" s="184"/>
      <c r="G131" s="184"/>
      <c r="H131" s="184"/>
      <c r="I131" s="184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184"/>
      <c r="AB131" s="184"/>
      <c r="AC131" s="184"/>
      <c r="AD131" s="184"/>
      <c r="AE131" s="163"/>
    </row>
    <row r="132" spans="1:31" ht="15.75" thickTop="1" x14ac:dyDescent="0.25">
      <c r="A132" s="223" t="str">
        <f>+A21</f>
        <v>Option 3:  600 MW in 2027 and 600 MW in 2029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224"/>
    </row>
    <row r="133" spans="1:31" x14ac:dyDescent="0.25">
      <c r="A133" s="225" t="str">
        <f>+A22</f>
        <v xml:space="preserve">Scenario: </v>
      </c>
      <c r="B133" s="74" t="str">
        <f>+B22</f>
        <v>Central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226"/>
    </row>
    <row r="134" spans="1:31" x14ac:dyDescent="0.25">
      <c r="A134" s="185"/>
      <c r="B134" s="189">
        <v>1</v>
      </c>
      <c r="C134" s="189">
        <v>1</v>
      </c>
      <c r="D134" s="189">
        <v>1</v>
      </c>
      <c r="E134" s="189">
        <v>1</v>
      </c>
      <c r="F134" s="189">
        <v>1</v>
      </c>
      <c r="G134" s="189">
        <v>1</v>
      </c>
      <c r="H134" s="189">
        <v>1</v>
      </c>
      <c r="I134" s="189">
        <v>1</v>
      </c>
      <c r="J134" s="189">
        <v>1</v>
      </c>
      <c r="K134" s="189">
        <v>1</v>
      </c>
      <c r="L134" s="189">
        <v>1</v>
      </c>
      <c r="M134" s="189">
        <v>1</v>
      </c>
      <c r="N134" s="189">
        <v>1</v>
      </c>
      <c r="O134" s="189">
        <v>1</v>
      </c>
      <c r="P134" s="189">
        <v>1</v>
      </c>
      <c r="Q134" s="189">
        <v>1</v>
      </c>
      <c r="R134" s="189">
        <v>1</v>
      </c>
      <c r="S134" s="189">
        <v>1</v>
      </c>
      <c r="T134" s="189">
        <v>1</v>
      </c>
      <c r="U134" s="189">
        <v>1</v>
      </c>
      <c r="V134" s="189">
        <v>1</v>
      </c>
      <c r="W134" s="189">
        <v>1</v>
      </c>
      <c r="X134" s="189">
        <v>1</v>
      </c>
      <c r="Y134" s="189">
        <v>1</v>
      </c>
      <c r="Z134" s="189">
        <v>1</v>
      </c>
      <c r="AA134" s="189">
        <v>1</v>
      </c>
      <c r="AB134" s="189">
        <v>1</v>
      </c>
      <c r="AC134" s="189">
        <v>1</v>
      </c>
      <c r="AD134" s="189">
        <v>1</v>
      </c>
      <c r="AE134" s="190">
        <v>1</v>
      </c>
    </row>
    <row r="135" spans="1:31" x14ac:dyDescent="0.25">
      <c r="A135" s="229" t="s">
        <v>39</v>
      </c>
      <c r="B135" s="180" t="str">
        <f t="shared" ref="B135:AE135" si="50">+B117</f>
        <v>2020-21</v>
      </c>
      <c r="C135" s="180" t="str">
        <f t="shared" si="50"/>
        <v>2021-22</v>
      </c>
      <c r="D135" s="180" t="str">
        <f t="shared" si="50"/>
        <v>2022-23</v>
      </c>
      <c r="E135" s="180" t="str">
        <f t="shared" si="50"/>
        <v>2023-24</v>
      </c>
      <c r="F135" s="180" t="str">
        <f t="shared" si="50"/>
        <v>2024-25</v>
      </c>
      <c r="G135" s="180" t="str">
        <f t="shared" si="50"/>
        <v>2025-26</v>
      </c>
      <c r="H135" s="180" t="str">
        <f t="shared" si="50"/>
        <v>2026-27</v>
      </c>
      <c r="I135" s="180" t="str">
        <f t="shared" si="50"/>
        <v>2027-28</v>
      </c>
      <c r="J135" s="180" t="str">
        <f t="shared" si="50"/>
        <v>2028-29</v>
      </c>
      <c r="K135" s="180" t="str">
        <f t="shared" si="50"/>
        <v>2029-30</v>
      </c>
      <c r="L135" s="180" t="str">
        <f t="shared" si="50"/>
        <v>2030-31</v>
      </c>
      <c r="M135" s="180" t="str">
        <f t="shared" si="50"/>
        <v>2031-32</v>
      </c>
      <c r="N135" s="180" t="str">
        <f t="shared" si="50"/>
        <v>2032-33</v>
      </c>
      <c r="O135" s="180" t="str">
        <f t="shared" si="50"/>
        <v>2033-34</v>
      </c>
      <c r="P135" s="180" t="str">
        <f t="shared" si="50"/>
        <v>2034-35</v>
      </c>
      <c r="Q135" s="180" t="str">
        <f t="shared" si="50"/>
        <v>2035-36</v>
      </c>
      <c r="R135" s="180" t="str">
        <f t="shared" si="50"/>
        <v>2036-37</v>
      </c>
      <c r="S135" s="180" t="str">
        <f t="shared" si="50"/>
        <v>2037-38</v>
      </c>
      <c r="T135" s="180" t="str">
        <f t="shared" si="50"/>
        <v>2038-39</v>
      </c>
      <c r="U135" s="180" t="str">
        <f t="shared" si="50"/>
        <v>2039-40</v>
      </c>
      <c r="V135" s="180" t="str">
        <f t="shared" si="50"/>
        <v>2040-41</v>
      </c>
      <c r="W135" s="180" t="str">
        <f t="shared" si="50"/>
        <v>2041-42</v>
      </c>
      <c r="X135" s="180" t="str">
        <f t="shared" si="50"/>
        <v>2042-43</v>
      </c>
      <c r="Y135" s="180" t="str">
        <f t="shared" si="50"/>
        <v>2043-44</v>
      </c>
      <c r="Z135" s="180" t="str">
        <f t="shared" si="50"/>
        <v>2044-45</v>
      </c>
      <c r="AA135" s="180" t="str">
        <f t="shared" si="50"/>
        <v>2045-46</v>
      </c>
      <c r="AB135" s="180" t="str">
        <f t="shared" si="50"/>
        <v>2046-47</v>
      </c>
      <c r="AC135" s="180" t="str">
        <f t="shared" si="50"/>
        <v>2047-48</v>
      </c>
      <c r="AD135" s="180" t="str">
        <f t="shared" si="50"/>
        <v>2048-49</v>
      </c>
      <c r="AE135" s="230" t="str">
        <f t="shared" si="50"/>
        <v>2049-50</v>
      </c>
    </row>
    <row r="136" spans="1:31" x14ac:dyDescent="0.25">
      <c r="A136" s="191"/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3"/>
    </row>
    <row r="137" spans="1:31" x14ac:dyDescent="0.25">
      <c r="A137" s="191" t="s">
        <v>136</v>
      </c>
      <c r="B137" s="192">
        <f t="shared" ref="B137:AE137" si="51">+B30</f>
        <v>0</v>
      </c>
      <c r="C137" s="192">
        <f t="shared" si="51"/>
        <v>-0.29146659370425843</v>
      </c>
      <c r="D137" s="192">
        <f t="shared" si="51"/>
        <v>-3.8066774878864149</v>
      </c>
      <c r="E137" s="192">
        <f t="shared" si="51"/>
        <v>-6.0685798027366689</v>
      </c>
      <c r="F137" s="192">
        <f t="shared" si="51"/>
        <v>1.1107558962097939</v>
      </c>
      <c r="G137" s="192">
        <f t="shared" si="51"/>
        <v>60.921373559234361</v>
      </c>
      <c r="H137" s="192">
        <f t="shared" si="51"/>
        <v>-32.066931884847605</v>
      </c>
      <c r="I137" s="192">
        <f t="shared" si="51"/>
        <v>44.090920532173762</v>
      </c>
      <c r="J137" s="192">
        <f t="shared" si="51"/>
        <v>85.102639440606595</v>
      </c>
      <c r="K137" s="192">
        <f t="shared" si="51"/>
        <v>117.50638077323708</v>
      </c>
      <c r="L137" s="192">
        <f t="shared" si="51"/>
        <v>98.419336541949392</v>
      </c>
      <c r="M137" s="192">
        <f t="shared" si="51"/>
        <v>104.06423470392485</v>
      </c>
      <c r="N137" s="192">
        <f t="shared" si="51"/>
        <v>249.1921448312483</v>
      </c>
      <c r="O137" s="192">
        <f t="shared" si="51"/>
        <v>240.17732381215473</v>
      </c>
      <c r="P137" s="192">
        <f t="shared" si="51"/>
        <v>255.37280767688753</v>
      </c>
      <c r="Q137" s="192">
        <f t="shared" si="51"/>
        <v>275.4371583077837</v>
      </c>
      <c r="R137" s="192">
        <f t="shared" si="51"/>
        <v>284.76371190277206</v>
      </c>
      <c r="S137" s="192">
        <f t="shared" si="51"/>
        <v>482.48901469967615</v>
      </c>
      <c r="T137" s="192">
        <f t="shared" si="51"/>
        <v>419.66472399366296</v>
      </c>
      <c r="U137" s="192">
        <f t="shared" si="51"/>
        <v>481.59703714947881</v>
      </c>
      <c r="V137" s="192">
        <f t="shared" si="51"/>
        <v>531.58455978531185</v>
      </c>
      <c r="W137" s="192">
        <f t="shared" si="51"/>
        <v>474.59455238037464</v>
      </c>
      <c r="X137" s="192">
        <f t="shared" si="51"/>
        <v>572.08680341203171</v>
      </c>
      <c r="Y137" s="192">
        <f t="shared" si="51"/>
        <v>581.05461631564856</v>
      </c>
      <c r="Z137" s="192">
        <f t="shared" si="51"/>
        <v>524.55940909895162</v>
      </c>
      <c r="AA137" s="192">
        <f t="shared" si="51"/>
        <v>569.76454525097927</v>
      </c>
      <c r="AB137" s="192">
        <f t="shared" si="51"/>
        <v>620.31036813226399</v>
      </c>
      <c r="AC137" s="192">
        <f t="shared" si="51"/>
        <v>628.10091823200241</v>
      </c>
      <c r="AD137" s="192">
        <f t="shared" si="51"/>
        <v>679.34203059190531</v>
      </c>
      <c r="AE137" s="193">
        <f t="shared" si="51"/>
        <v>659.34258866501204</v>
      </c>
    </row>
    <row r="138" spans="1:31" x14ac:dyDescent="0.25">
      <c r="A138" s="194" t="s">
        <v>137</v>
      </c>
      <c r="B138" s="158">
        <v>0</v>
      </c>
      <c r="C138" s="158">
        <v>0</v>
      </c>
      <c r="D138" s="158">
        <v>0</v>
      </c>
      <c r="E138" s="158">
        <v>0</v>
      </c>
      <c r="F138" s="158">
        <v>0</v>
      </c>
      <c r="G138" s="158">
        <v>0</v>
      </c>
      <c r="H138" s="158">
        <v>0</v>
      </c>
      <c r="I138" s="158">
        <v>0</v>
      </c>
      <c r="J138" s="158">
        <v>0</v>
      </c>
      <c r="K138" s="158">
        <v>0</v>
      </c>
      <c r="L138" s="158">
        <v>0</v>
      </c>
      <c r="M138" s="158">
        <v>0</v>
      </c>
      <c r="N138" s="158">
        <v>0</v>
      </c>
      <c r="O138" s="158">
        <v>0</v>
      </c>
      <c r="P138" s="158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58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95">
        <f>+PV(NotSlowWACC,(40-SUM(I$116:AE$116)),AVERAGE(Y137:AC137))*-1</f>
        <v>6692.1952499352019</v>
      </c>
    </row>
    <row r="139" spans="1:31" x14ac:dyDescent="0.25">
      <c r="A139" s="185" t="s">
        <v>138</v>
      </c>
      <c r="B139" s="192">
        <f>SUM(B137:B138)</f>
        <v>0</v>
      </c>
      <c r="C139" s="192">
        <f t="shared" ref="C139:AE139" si="52">SUM(C137:C138)</f>
        <v>-0.29146659370425843</v>
      </c>
      <c r="D139" s="192">
        <f t="shared" si="52"/>
        <v>-3.8066774878864149</v>
      </c>
      <c r="E139" s="192">
        <f t="shared" si="52"/>
        <v>-6.0685798027366689</v>
      </c>
      <c r="F139" s="192">
        <f t="shared" si="52"/>
        <v>1.1107558962097939</v>
      </c>
      <c r="G139" s="192">
        <f t="shared" si="52"/>
        <v>60.921373559234361</v>
      </c>
      <c r="H139" s="192">
        <f t="shared" si="52"/>
        <v>-32.066931884847605</v>
      </c>
      <c r="I139" s="192">
        <f t="shared" si="52"/>
        <v>44.090920532173762</v>
      </c>
      <c r="J139" s="192">
        <f t="shared" si="52"/>
        <v>85.102639440606595</v>
      </c>
      <c r="K139" s="192">
        <f t="shared" si="52"/>
        <v>117.50638077323708</v>
      </c>
      <c r="L139" s="192">
        <f t="shared" si="52"/>
        <v>98.419336541949392</v>
      </c>
      <c r="M139" s="192">
        <f t="shared" si="52"/>
        <v>104.06423470392485</v>
      </c>
      <c r="N139" s="192">
        <f t="shared" si="52"/>
        <v>249.1921448312483</v>
      </c>
      <c r="O139" s="192">
        <f t="shared" si="52"/>
        <v>240.17732381215473</v>
      </c>
      <c r="P139" s="192">
        <f t="shared" si="52"/>
        <v>255.37280767688753</v>
      </c>
      <c r="Q139" s="192">
        <f t="shared" si="52"/>
        <v>275.4371583077837</v>
      </c>
      <c r="R139" s="192">
        <f t="shared" si="52"/>
        <v>284.76371190277206</v>
      </c>
      <c r="S139" s="192">
        <f t="shared" si="52"/>
        <v>482.48901469967615</v>
      </c>
      <c r="T139" s="192">
        <f t="shared" si="52"/>
        <v>419.66472399366296</v>
      </c>
      <c r="U139" s="192">
        <f t="shared" si="52"/>
        <v>481.59703714947881</v>
      </c>
      <c r="V139" s="192">
        <f t="shared" si="52"/>
        <v>531.58455978531185</v>
      </c>
      <c r="W139" s="192">
        <f t="shared" si="52"/>
        <v>474.59455238037464</v>
      </c>
      <c r="X139" s="192">
        <f t="shared" si="52"/>
        <v>572.08680341203171</v>
      </c>
      <c r="Y139" s="192">
        <f t="shared" si="52"/>
        <v>581.05461631564856</v>
      </c>
      <c r="Z139" s="192">
        <f t="shared" si="52"/>
        <v>524.55940909895162</v>
      </c>
      <c r="AA139" s="192">
        <f t="shared" si="52"/>
        <v>569.76454525097927</v>
      </c>
      <c r="AB139" s="192">
        <f t="shared" si="52"/>
        <v>620.31036813226399</v>
      </c>
      <c r="AC139" s="192">
        <f t="shared" si="52"/>
        <v>628.10091823200241</v>
      </c>
      <c r="AD139" s="192">
        <f t="shared" si="52"/>
        <v>679.34203059190531</v>
      </c>
      <c r="AE139" s="193">
        <f t="shared" si="52"/>
        <v>7351.5378386002139</v>
      </c>
    </row>
    <row r="140" spans="1:31" x14ac:dyDescent="0.25">
      <c r="A140" s="185"/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3"/>
    </row>
    <row r="141" spans="1:31" x14ac:dyDescent="0.25">
      <c r="A141" s="185" t="s">
        <v>139</v>
      </c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3"/>
    </row>
    <row r="142" spans="1:31" x14ac:dyDescent="0.25">
      <c r="A142" s="185" t="s">
        <v>182</v>
      </c>
      <c r="B142" s="192">
        <v>0</v>
      </c>
      <c r="C142" s="192">
        <v>0</v>
      </c>
      <c r="D142" s="192">
        <v>0</v>
      </c>
      <c r="E142" s="192">
        <v>0</v>
      </c>
      <c r="F142" s="192">
        <v>0</v>
      </c>
      <c r="G142" s="192">
        <v>0</v>
      </c>
      <c r="H142" s="192">
        <v>0</v>
      </c>
      <c r="I142" s="192">
        <v>0</v>
      </c>
      <c r="J142" s="192">
        <v>0</v>
      </c>
      <c r="K142" s="192">
        <v>0</v>
      </c>
      <c r="L142" s="192">
        <v>0</v>
      </c>
      <c r="M142" s="192">
        <v>0</v>
      </c>
      <c r="N142" s="192">
        <v>0</v>
      </c>
      <c r="O142" s="192">
        <v>0</v>
      </c>
      <c r="P142" s="192">
        <v>0</v>
      </c>
      <c r="Q142" s="192">
        <v>0</v>
      </c>
      <c r="R142" s="192">
        <v>0</v>
      </c>
      <c r="S142" s="192">
        <v>0</v>
      </c>
      <c r="T142" s="192">
        <v>0</v>
      </c>
      <c r="U142" s="192">
        <v>0</v>
      </c>
      <c r="V142" s="192">
        <v>0</v>
      </c>
      <c r="W142" s="192">
        <v>0</v>
      </c>
      <c r="X142" s="192">
        <v>0</v>
      </c>
      <c r="Y142" s="192">
        <v>0</v>
      </c>
      <c r="Z142" s="192">
        <v>0</v>
      </c>
      <c r="AA142" s="192">
        <v>0</v>
      </c>
      <c r="AB142" s="192">
        <v>0</v>
      </c>
      <c r="AC142" s="192">
        <v>0</v>
      </c>
      <c r="AD142" s="192">
        <v>0</v>
      </c>
      <c r="AE142" s="193">
        <f>+PV(NotSlowWACC,40-SUM(I134:AE134),AVERAGE(AA98:AE98))*2*-1</f>
        <v>354.66815975304684</v>
      </c>
    </row>
    <row r="143" spans="1:31" x14ac:dyDescent="0.25">
      <c r="A143" s="231" t="s">
        <v>183</v>
      </c>
      <c r="B143" s="158">
        <v>0</v>
      </c>
      <c r="C143" s="158">
        <v>0</v>
      </c>
      <c r="D143" s="158">
        <v>0</v>
      </c>
      <c r="E143" s="158">
        <v>0</v>
      </c>
      <c r="F143" s="158">
        <v>0</v>
      </c>
      <c r="G143" s="158">
        <v>0</v>
      </c>
      <c r="H143" s="158">
        <v>0</v>
      </c>
      <c r="I143" s="158">
        <v>0</v>
      </c>
      <c r="J143" s="158">
        <v>0</v>
      </c>
      <c r="K143" s="158">
        <v>0</v>
      </c>
      <c r="L143" s="158">
        <v>0</v>
      </c>
      <c r="M143" s="158">
        <v>0</v>
      </c>
      <c r="N143" s="158">
        <v>0</v>
      </c>
      <c r="O143" s="158">
        <v>0</v>
      </c>
      <c r="P143" s="158">
        <v>0</v>
      </c>
      <c r="Q143" s="158">
        <v>0</v>
      </c>
      <c r="R143" s="158">
        <v>0</v>
      </c>
      <c r="S143" s="158">
        <v>0</v>
      </c>
      <c r="T143" s="158">
        <v>0</v>
      </c>
      <c r="U143" s="158">
        <v>0</v>
      </c>
      <c r="V143" s="158">
        <v>0</v>
      </c>
      <c r="W143" s="158">
        <v>0</v>
      </c>
      <c r="X143" s="158">
        <v>0</v>
      </c>
      <c r="Y143" s="158">
        <v>0</v>
      </c>
      <c r="Z143" s="158">
        <v>0</v>
      </c>
      <c r="AA143" s="158">
        <v>0</v>
      </c>
      <c r="AB143" s="158">
        <v>0</v>
      </c>
      <c r="AC143" s="158">
        <v>0</v>
      </c>
      <c r="AD143" s="158">
        <v>0</v>
      </c>
      <c r="AE143" s="195">
        <f>+PV(NotSlowWACC,40-SUM(I134:AE134),AVERAGE(AA99:AE99))*2*-1</f>
        <v>62.468673957779785</v>
      </c>
    </row>
    <row r="144" spans="1:31" x14ac:dyDescent="0.25">
      <c r="A144" s="185" t="s">
        <v>144</v>
      </c>
      <c r="B144" s="232">
        <f>+SUM(B142:B143)</f>
        <v>0</v>
      </c>
      <c r="C144" s="232">
        <f t="shared" ref="C144" si="53">+SUM(C142:C143)</f>
        <v>0</v>
      </c>
      <c r="D144" s="232">
        <f t="shared" ref="D144:AE144" si="54">+SUM(D142:D143)</f>
        <v>0</v>
      </c>
      <c r="E144" s="232">
        <f t="shared" si="54"/>
        <v>0</v>
      </c>
      <c r="F144" s="232">
        <f t="shared" si="54"/>
        <v>0</v>
      </c>
      <c r="G144" s="232">
        <f t="shared" si="54"/>
        <v>0</v>
      </c>
      <c r="H144" s="232">
        <f t="shared" si="54"/>
        <v>0</v>
      </c>
      <c r="I144" s="232">
        <f t="shared" si="54"/>
        <v>0</v>
      </c>
      <c r="J144" s="232">
        <f t="shared" si="54"/>
        <v>0</v>
      </c>
      <c r="K144" s="232">
        <f t="shared" si="54"/>
        <v>0</v>
      </c>
      <c r="L144" s="232">
        <f t="shared" si="54"/>
        <v>0</v>
      </c>
      <c r="M144" s="232">
        <f t="shared" si="54"/>
        <v>0</v>
      </c>
      <c r="N144" s="232">
        <f t="shared" si="54"/>
        <v>0</v>
      </c>
      <c r="O144" s="232">
        <f t="shared" si="54"/>
        <v>0</v>
      </c>
      <c r="P144" s="232">
        <f t="shared" si="54"/>
        <v>0</v>
      </c>
      <c r="Q144" s="232">
        <f t="shared" si="54"/>
        <v>0</v>
      </c>
      <c r="R144" s="232">
        <f t="shared" si="54"/>
        <v>0</v>
      </c>
      <c r="S144" s="232">
        <f t="shared" si="54"/>
        <v>0</v>
      </c>
      <c r="T144" s="232">
        <f t="shared" si="54"/>
        <v>0</v>
      </c>
      <c r="U144" s="232">
        <f t="shared" si="54"/>
        <v>0</v>
      </c>
      <c r="V144" s="232">
        <f t="shared" si="54"/>
        <v>0</v>
      </c>
      <c r="W144" s="232">
        <f t="shared" si="54"/>
        <v>0</v>
      </c>
      <c r="X144" s="232">
        <f t="shared" si="54"/>
        <v>0</v>
      </c>
      <c r="Y144" s="232">
        <f t="shared" si="54"/>
        <v>0</v>
      </c>
      <c r="Z144" s="232">
        <f t="shared" si="54"/>
        <v>0</v>
      </c>
      <c r="AA144" s="232">
        <f t="shared" si="54"/>
        <v>0</v>
      </c>
      <c r="AB144" s="232">
        <f t="shared" si="54"/>
        <v>0</v>
      </c>
      <c r="AC144" s="232">
        <f t="shared" si="54"/>
        <v>0</v>
      </c>
      <c r="AD144" s="232">
        <f t="shared" si="54"/>
        <v>0</v>
      </c>
      <c r="AE144" s="233">
        <f t="shared" si="54"/>
        <v>417.13683371082664</v>
      </c>
    </row>
    <row r="145" spans="1:31" x14ac:dyDescent="0.25">
      <c r="A145" s="185"/>
      <c r="B145" s="184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3"/>
    </row>
    <row r="146" spans="1:31" x14ac:dyDescent="0.25">
      <c r="A146" s="185" t="s">
        <v>118</v>
      </c>
      <c r="B146" s="196">
        <f>XNPV(NotSlowWACC,B139:AE139,$B$10:$AE$10)</f>
        <v>5139.2836712365952</v>
      </c>
      <c r="C146" s="184"/>
      <c r="D146" s="184"/>
      <c r="E146" s="184"/>
      <c r="F146" s="184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163"/>
    </row>
    <row r="147" spans="1:31" ht="15.75" thickBot="1" x14ac:dyDescent="0.3">
      <c r="A147" s="234" t="s">
        <v>117</v>
      </c>
      <c r="B147" s="186">
        <f>B105+XNPV(NotSlowWACC,$B$144:$AE$144,$B$10:$AE$10)</f>
        <v>2324.3177810338302</v>
      </c>
      <c r="C147" s="184"/>
      <c r="D147" s="184"/>
      <c r="E147" s="184"/>
      <c r="F147" s="184"/>
      <c r="G147" s="184"/>
      <c r="H147" s="184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184"/>
      <c r="AB147" s="184"/>
      <c r="AC147" s="184"/>
      <c r="AD147" s="184"/>
      <c r="AE147" s="163"/>
    </row>
    <row r="148" spans="1:31" ht="15.75" thickTop="1" x14ac:dyDescent="0.25">
      <c r="A148" s="164" t="s">
        <v>119</v>
      </c>
      <c r="B148" s="196">
        <f>+B146-B147</f>
        <v>2814.965890202765</v>
      </c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84"/>
      <c r="AE148" s="163"/>
    </row>
    <row r="149" spans="1:31" ht="15.75" thickBot="1" x14ac:dyDescent="0.3">
      <c r="A149" s="164"/>
      <c r="B149" s="196"/>
      <c r="C149" s="184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4"/>
      <c r="AE149" s="163"/>
    </row>
    <row r="150" spans="1:31" ht="15.75" thickTop="1" x14ac:dyDescent="0.25">
      <c r="A150" s="223" t="str">
        <f>+A36</f>
        <v>Option 3:  600 MW in 2027 and 600 MW in 2029</v>
      </c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224"/>
    </row>
    <row r="151" spans="1:31" x14ac:dyDescent="0.25">
      <c r="A151" s="225" t="str">
        <f>+A37</f>
        <v xml:space="preserve">Scenario: </v>
      </c>
      <c r="B151" s="74" t="str">
        <f>+B37</f>
        <v>High DER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226"/>
    </row>
    <row r="152" spans="1:31" x14ac:dyDescent="0.25">
      <c r="A152" s="185"/>
      <c r="B152" s="189">
        <v>1</v>
      </c>
      <c r="C152" s="189">
        <v>1</v>
      </c>
      <c r="D152" s="189">
        <v>1</v>
      </c>
      <c r="E152" s="189">
        <v>1</v>
      </c>
      <c r="F152" s="189">
        <v>1</v>
      </c>
      <c r="G152" s="189">
        <v>1</v>
      </c>
      <c r="H152" s="189">
        <v>1</v>
      </c>
      <c r="I152" s="189">
        <v>1</v>
      </c>
      <c r="J152" s="189">
        <v>1</v>
      </c>
      <c r="K152" s="189">
        <v>1</v>
      </c>
      <c r="L152" s="189">
        <v>1</v>
      </c>
      <c r="M152" s="189">
        <v>1</v>
      </c>
      <c r="N152" s="189">
        <v>1</v>
      </c>
      <c r="O152" s="189">
        <v>1</v>
      </c>
      <c r="P152" s="189">
        <v>1</v>
      </c>
      <c r="Q152" s="189">
        <v>1</v>
      </c>
      <c r="R152" s="189">
        <v>1</v>
      </c>
      <c r="S152" s="189">
        <v>1</v>
      </c>
      <c r="T152" s="189">
        <v>1</v>
      </c>
      <c r="U152" s="189">
        <v>1</v>
      </c>
      <c r="V152" s="189">
        <v>1</v>
      </c>
      <c r="W152" s="189">
        <v>1</v>
      </c>
      <c r="X152" s="189">
        <v>1</v>
      </c>
      <c r="Y152" s="189">
        <v>1</v>
      </c>
      <c r="Z152" s="189">
        <v>1</v>
      </c>
      <c r="AA152" s="189">
        <v>1</v>
      </c>
      <c r="AB152" s="189">
        <v>1</v>
      </c>
      <c r="AC152" s="189">
        <v>1</v>
      </c>
      <c r="AD152" s="189">
        <v>1</v>
      </c>
      <c r="AE152" s="190">
        <v>1</v>
      </c>
    </row>
    <row r="153" spans="1:31" x14ac:dyDescent="0.25">
      <c r="A153" s="229" t="s">
        <v>39</v>
      </c>
      <c r="B153" s="180" t="str">
        <f>+B135</f>
        <v>2020-21</v>
      </c>
      <c r="C153" s="180" t="str">
        <f t="shared" ref="C153:AE153" si="55">+C135</f>
        <v>2021-22</v>
      </c>
      <c r="D153" s="180" t="str">
        <f t="shared" si="55"/>
        <v>2022-23</v>
      </c>
      <c r="E153" s="180" t="str">
        <f t="shared" si="55"/>
        <v>2023-24</v>
      </c>
      <c r="F153" s="180" t="str">
        <f t="shared" si="55"/>
        <v>2024-25</v>
      </c>
      <c r="G153" s="180" t="str">
        <f t="shared" si="55"/>
        <v>2025-26</v>
      </c>
      <c r="H153" s="180" t="str">
        <f t="shared" si="55"/>
        <v>2026-27</v>
      </c>
      <c r="I153" s="180" t="str">
        <f t="shared" si="55"/>
        <v>2027-28</v>
      </c>
      <c r="J153" s="180" t="str">
        <f t="shared" si="55"/>
        <v>2028-29</v>
      </c>
      <c r="K153" s="180" t="str">
        <f t="shared" si="55"/>
        <v>2029-30</v>
      </c>
      <c r="L153" s="180" t="str">
        <f t="shared" si="55"/>
        <v>2030-31</v>
      </c>
      <c r="M153" s="180" t="str">
        <f t="shared" si="55"/>
        <v>2031-32</v>
      </c>
      <c r="N153" s="180" t="str">
        <f t="shared" si="55"/>
        <v>2032-33</v>
      </c>
      <c r="O153" s="180" t="str">
        <f t="shared" si="55"/>
        <v>2033-34</v>
      </c>
      <c r="P153" s="180" t="str">
        <f t="shared" si="55"/>
        <v>2034-35</v>
      </c>
      <c r="Q153" s="180" t="str">
        <f t="shared" si="55"/>
        <v>2035-36</v>
      </c>
      <c r="R153" s="180" t="str">
        <f t="shared" si="55"/>
        <v>2036-37</v>
      </c>
      <c r="S153" s="180" t="str">
        <f t="shared" si="55"/>
        <v>2037-38</v>
      </c>
      <c r="T153" s="180" t="str">
        <f t="shared" si="55"/>
        <v>2038-39</v>
      </c>
      <c r="U153" s="180" t="str">
        <f t="shared" si="55"/>
        <v>2039-40</v>
      </c>
      <c r="V153" s="180" t="str">
        <f t="shared" si="55"/>
        <v>2040-41</v>
      </c>
      <c r="W153" s="180" t="str">
        <f t="shared" si="55"/>
        <v>2041-42</v>
      </c>
      <c r="X153" s="180" t="str">
        <f t="shared" si="55"/>
        <v>2042-43</v>
      </c>
      <c r="Y153" s="180" t="str">
        <f t="shared" si="55"/>
        <v>2043-44</v>
      </c>
      <c r="Z153" s="180" t="str">
        <f t="shared" si="55"/>
        <v>2044-45</v>
      </c>
      <c r="AA153" s="180" t="str">
        <f t="shared" si="55"/>
        <v>2045-46</v>
      </c>
      <c r="AB153" s="180" t="str">
        <f t="shared" si="55"/>
        <v>2046-47</v>
      </c>
      <c r="AC153" s="180" t="str">
        <f t="shared" si="55"/>
        <v>2047-48</v>
      </c>
      <c r="AD153" s="180" t="str">
        <f t="shared" si="55"/>
        <v>2048-49</v>
      </c>
      <c r="AE153" s="230" t="str">
        <f t="shared" si="55"/>
        <v>2049-50</v>
      </c>
    </row>
    <row r="154" spans="1:31" x14ac:dyDescent="0.25">
      <c r="A154" s="191"/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  <c r="R154" s="192"/>
      <c r="S154" s="192"/>
      <c r="T154" s="192"/>
      <c r="U154" s="192"/>
      <c r="V154" s="192"/>
      <c r="W154" s="192"/>
      <c r="X154" s="192"/>
      <c r="Y154" s="192"/>
      <c r="Z154" s="192"/>
      <c r="AA154" s="192"/>
      <c r="AB154" s="192"/>
      <c r="AC154" s="192"/>
      <c r="AD154" s="192"/>
      <c r="AE154" s="193"/>
    </row>
    <row r="155" spans="1:31" x14ac:dyDescent="0.25">
      <c r="A155" s="191" t="s">
        <v>136</v>
      </c>
      <c r="B155" s="192">
        <f t="shared" ref="B155:AE155" si="56">+B45</f>
        <v>0</v>
      </c>
      <c r="C155" s="192">
        <f t="shared" si="56"/>
        <v>-0.41802422954584562</v>
      </c>
      <c r="D155" s="192">
        <f t="shared" si="56"/>
        <v>-1.8707489168587057</v>
      </c>
      <c r="E155" s="192">
        <f t="shared" si="56"/>
        <v>-3.1564687483357772</v>
      </c>
      <c r="F155" s="192">
        <f t="shared" si="56"/>
        <v>7.33777919101178</v>
      </c>
      <c r="G155" s="192">
        <f t="shared" si="56"/>
        <v>104.2628996790051</v>
      </c>
      <c r="H155" s="192">
        <f t="shared" si="56"/>
        <v>-41.548924198650752</v>
      </c>
      <c r="I155" s="192">
        <f t="shared" si="56"/>
        <v>48.45687851426932</v>
      </c>
      <c r="J155" s="192">
        <f t="shared" si="56"/>
        <v>93.197423584036756</v>
      </c>
      <c r="K155" s="192">
        <f t="shared" si="56"/>
        <v>116.02600257818926</v>
      </c>
      <c r="L155" s="192">
        <f t="shared" si="56"/>
        <v>99.5318182460733</v>
      </c>
      <c r="M155" s="192">
        <f t="shared" si="56"/>
        <v>114.02330189049025</v>
      </c>
      <c r="N155" s="192">
        <f t="shared" si="56"/>
        <v>224.34271796853071</v>
      </c>
      <c r="O155" s="192">
        <f t="shared" si="56"/>
        <v>244.42298501363155</v>
      </c>
      <c r="P155" s="192">
        <f t="shared" si="56"/>
        <v>254.08999980447402</v>
      </c>
      <c r="Q155" s="192">
        <f t="shared" si="56"/>
        <v>271.569469900417</v>
      </c>
      <c r="R155" s="192">
        <f t="shared" si="56"/>
        <v>303.69379667937807</v>
      </c>
      <c r="S155" s="192">
        <f t="shared" si="56"/>
        <v>449.8519223022663</v>
      </c>
      <c r="T155" s="192">
        <f t="shared" si="56"/>
        <v>433.45080860021909</v>
      </c>
      <c r="U155" s="192">
        <f t="shared" si="56"/>
        <v>468.99766461603292</v>
      </c>
      <c r="V155" s="192">
        <f t="shared" si="56"/>
        <v>488.73291708945561</v>
      </c>
      <c r="W155" s="192">
        <f t="shared" si="56"/>
        <v>496.20620918141753</v>
      </c>
      <c r="X155" s="192">
        <f t="shared" si="56"/>
        <v>562.09642886649237</v>
      </c>
      <c r="Y155" s="192">
        <f t="shared" si="56"/>
        <v>552.09102911758384</v>
      </c>
      <c r="Z155" s="192">
        <f t="shared" si="56"/>
        <v>528.26166734978699</v>
      </c>
      <c r="AA155" s="192">
        <f t="shared" si="56"/>
        <v>567.5186715832491</v>
      </c>
      <c r="AB155" s="192">
        <f t="shared" si="56"/>
        <v>631.69292241772473</v>
      </c>
      <c r="AC155" s="192">
        <f t="shared" si="56"/>
        <v>652.31062642581355</v>
      </c>
      <c r="AD155" s="192">
        <f t="shared" si="56"/>
        <v>662.19988322426798</v>
      </c>
      <c r="AE155" s="193">
        <f t="shared" si="56"/>
        <v>643.49998698210277</v>
      </c>
    </row>
    <row r="156" spans="1:31" x14ac:dyDescent="0.25">
      <c r="A156" s="194" t="s">
        <v>137</v>
      </c>
      <c r="B156" s="158">
        <v>0</v>
      </c>
      <c r="C156" s="158">
        <v>0</v>
      </c>
      <c r="D156" s="158">
        <v>0</v>
      </c>
      <c r="E156" s="158">
        <v>0</v>
      </c>
      <c r="F156" s="158">
        <v>0</v>
      </c>
      <c r="G156" s="158">
        <v>0</v>
      </c>
      <c r="H156" s="158">
        <v>0</v>
      </c>
      <c r="I156" s="158">
        <v>0</v>
      </c>
      <c r="J156" s="158">
        <v>0</v>
      </c>
      <c r="K156" s="158">
        <v>0</v>
      </c>
      <c r="L156" s="158">
        <v>0</v>
      </c>
      <c r="M156" s="158">
        <v>0</v>
      </c>
      <c r="N156" s="158">
        <v>0</v>
      </c>
      <c r="O156" s="158">
        <v>0</v>
      </c>
      <c r="P156" s="158">
        <v>0</v>
      </c>
      <c r="Q156" s="158">
        <v>0</v>
      </c>
      <c r="R156" s="158">
        <v>0</v>
      </c>
      <c r="S156" s="158">
        <v>0</v>
      </c>
      <c r="T156" s="158">
        <v>0</v>
      </c>
      <c r="U156" s="158">
        <v>0</v>
      </c>
      <c r="V156" s="158">
        <v>0</v>
      </c>
      <c r="W156" s="158">
        <v>0</v>
      </c>
      <c r="X156" s="158">
        <v>0</v>
      </c>
      <c r="Y156" s="158">
        <v>0</v>
      </c>
      <c r="Z156" s="158">
        <v>0</v>
      </c>
      <c r="AA156" s="158">
        <v>0</v>
      </c>
      <c r="AB156" s="158">
        <v>0</v>
      </c>
      <c r="AC156" s="158">
        <v>0</v>
      </c>
      <c r="AD156" s="158">
        <v>0</v>
      </c>
      <c r="AE156" s="195">
        <f>+PV(NotSlowWACC,(40-SUM(I$116:AE$116)),AVERAGE(Y155:AC155))*-1</f>
        <v>6710.7009572073239</v>
      </c>
    </row>
    <row r="157" spans="1:31" x14ac:dyDescent="0.25">
      <c r="A157" s="185" t="s">
        <v>138</v>
      </c>
      <c r="B157" s="192">
        <f>SUM(B155:B156)</f>
        <v>0</v>
      </c>
      <c r="C157" s="192">
        <f t="shared" ref="C157:AE157" si="57">SUM(C155:C156)</f>
        <v>-0.41802422954584562</v>
      </c>
      <c r="D157" s="192">
        <f t="shared" si="57"/>
        <v>-1.8707489168587057</v>
      </c>
      <c r="E157" s="192">
        <f t="shared" si="57"/>
        <v>-3.1564687483357772</v>
      </c>
      <c r="F157" s="192">
        <f t="shared" si="57"/>
        <v>7.33777919101178</v>
      </c>
      <c r="G157" s="192">
        <f t="shared" si="57"/>
        <v>104.2628996790051</v>
      </c>
      <c r="H157" s="192">
        <f t="shared" si="57"/>
        <v>-41.548924198650752</v>
      </c>
      <c r="I157" s="192">
        <f t="shared" si="57"/>
        <v>48.45687851426932</v>
      </c>
      <c r="J157" s="192">
        <f t="shared" si="57"/>
        <v>93.197423584036756</v>
      </c>
      <c r="K157" s="192">
        <f t="shared" si="57"/>
        <v>116.02600257818926</v>
      </c>
      <c r="L157" s="192">
        <f t="shared" si="57"/>
        <v>99.5318182460733</v>
      </c>
      <c r="M157" s="192">
        <f t="shared" si="57"/>
        <v>114.02330189049025</v>
      </c>
      <c r="N157" s="192">
        <f t="shared" si="57"/>
        <v>224.34271796853071</v>
      </c>
      <c r="O157" s="192">
        <f t="shared" si="57"/>
        <v>244.42298501363155</v>
      </c>
      <c r="P157" s="192">
        <f t="shared" si="57"/>
        <v>254.08999980447402</v>
      </c>
      <c r="Q157" s="192">
        <f t="shared" si="57"/>
        <v>271.569469900417</v>
      </c>
      <c r="R157" s="192">
        <f t="shared" si="57"/>
        <v>303.69379667937807</v>
      </c>
      <c r="S157" s="192">
        <f t="shared" si="57"/>
        <v>449.8519223022663</v>
      </c>
      <c r="T157" s="192">
        <f t="shared" si="57"/>
        <v>433.45080860021909</v>
      </c>
      <c r="U157" s="192">
        <f t="shared" si="57"/>
        <v>468.99766461603292</v>
      </c>
      <c r="V157" s="192">
        <f t="shared" si="57"/>
        <v>488.73291708945561</v>
      </c>
      <c r="W157" s="192">
        <f t="shared" si="57"/>
        <v>496.20620918141753</v>
      </c>
      <c r="X157" s="192">
        <f t="shared" si="57"/>
        <v>562.09642886649237</v>
      </c>
      <c r="Y157" s="192">
        <f t="shared" si="57"/>
        <v>552.09102911758384</v>
      </c>
      <c r="Z157" s="192">
        <f t="shared" si="57"/>
        <v>528.26166734978699</v>
      </c>
      <c r="AA157" s="192">
        <f t="shared" si="57"/>
        <v>567.5186715832491</v>
      </c>
      <c r="AB157" s="192">
        <f t="shared" si="57"/>
        <v>631.69292241772473</v>
      </c>
      <c r="AC157" s="192">
        <f t="shared" si="57"/>
        <v>652.31062642581355</v>
      </c>
      <c r="AD157" s="192">
        <f t="shared" si="57"/>
        <v>662.19988322426798</v>
      </c>
      <c r="AE157" s="193">
        <f t="shared" si="57"/>
        <v>7354.200944189427</v>
      </c>
    </row>
    <row r="158" spans="1:31" x14ac:dyDescent="0.25">
      <c r="A158" s="185"/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3"/>
    </row>
    <row r="159" spans="1:31" x14ac:dyDescent="0.25">
      <c r="A159" s="185" t="s">
        <v>118</v>
      </c>
      <c r="B159" s="196">
        <f>XNPV(NotSlowWACC,B157:AE157,$B$10:$AE$10)</f>
        <v>5155.3466855935612</v>
      </c>
      <c r="C159" s="184"/>
      <c r="D159" s="184"/>
      <c r="E159" s="184"/>
      <c r="F159" s="184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63"/>
    </row>
    <row r="160" spans="1:31" ht="15.75" thickBot="1" x14ac:dyDescent="0.3">
      <c r="A160" s="234" t="s">
        <v>117</v>
      </c>
      <c r="B160" s="186">
        <f>+B147</f>
        <v>2324.3177810338302</v>
      </c>
      <c r="C160" s="184"/>
      <c r="D160" s="184"/>
      <c r="E160" s="184"/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63"/>
    </row>
    <row r="161" spans="1:31" ht="15.75" thickTop="1" x14ac:dyDescent="0.25">
      <c r="A161" s="164" t="s">
        <v>119</v>
      </c>
      <c r="B161" s="196">
        <f>+B159-B160</f>
        <v>2831.028904559731</v>
      </c>
      <c r="C161" s="184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  <c r="AD161" s="184"/>
      <c r="AE161" s="163"/>
    </row>
    <row r="162" spans="1:31" ht="15.75" thickBot="1" x14ac:dyDescent="0.3">
      <c r="A162" s="185"/>
      <c r="B162" s="184"/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  <c r="AD162" s="184"/>
      <c r="AE162" s="163"/>
    </row>
    <row r="163" spans="1:31" ht="15.75" thickTop="1" x14ac:dyDescent="0.25">
      <c r="A163" s="223" t="str">
        <f>+A51</f>
        <v>Option 3:  600 MW in 2027 and 600 MW in 2029</v>
      </c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224"/>
    </row>
    <row r="164" spans="1:31" x14ac:dyDescent="0.25">
      <c r="A164" s="225" t="str">
        <f>+A52</f>
        <v xml:space="preserve">Scenario: </v>
      </c>
      <c r="B164" s="74" t="str">
        <f>+B52</f>
        <v xml:space="preserve">Fast Change 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226"/>
    </row>
    <row r="165" spans="1:31" x14ac:dyDescent="0.25">
      <c r="A165" s="185"/>
      <c r="B165" s="189">
        <v>1</v>
      </c>
      <c r="C165" s="189">
        <v>1</v>
      </c>
      <c r="D165" s="189">
        <v>1</v>
      </c>
      <c r="E165" s="189">
        <v>1</v>
      </c>
      <c r="F165" s="189">
        <v>1</v>
      </c>
      <c r="G165" s="189">
        <v>1</v>
      </c>
      <c r="H165" s="189">
        <v>1</v>
      </c>
      <c r="I165" s="189">
        <v>1</v>
      </c>
      <c r="J165" s="189">
        <v>1</v>
      </c>
      <c r="K165" s="189">
        <v>1</v>
      </c>
      <c r="L165" s="189">
        <v>1</v>
      </c>
      <c r="M165" s="189">
        <v>1</v>
      </c>
      <c r="N165" s="189">
        <v>1</v>
      </c>
      <c r="O165" s="189">
        <v>1</v>
      </c>
      <c r="P165" s="189">
        <v>1</v>
      </c>
      <c r="Q165" s="189">
        <v>1</v>
      </c>
      <c r="R165" s="189">
        <v>1</v>
      </c>
      <c r="S165" s="189">
        <v>1</v>
      </c>
      <c r="T165" s="189">
        <v>1</v>
      </c>
      <c r="U165" s="189">
        <v>1</v>
      </c>
      <c r="V165" s="189">
        <v>1</v>
      </c>
      <c r="W165" s="189">
        <v>1</v>
      </c>
      <c r="X165" s="189">
        <v>1</v>
      </c>
      <c r="Y165" s="189">
        <v>1</v>
      </c>
      <c r="Z165" s="189">
        <v>1</v>
      </c>
      <c r="AA165" s="189">
        <v>1</v>
      </c>
      <c r="AB165" s="189">
        <v>1</v>
      </c>
      <c r="AC165" s="189">
        <v>1</v>
      </c>
      <c r="AD165" s="189">
        <v>1</v>
      </c>
      <c r="AE165" s="190">
        <v>1</v>
      </c>
    </row>
    <row r="166" spans="1:31" x14ac:dyDescent="0.25">
      <c r="A166" s="229" t="s">
        <v>39</v>
      </c>
      <c r="B166" s="180" t="str">
        <f>+B153</f>
        <v>2020-21</v>
      </c>
      <c r="C166" s="180" t="str">
        <f t="shared" ref="C166:AE166" si="58">+C153</f>
        <v>2021-22</v>
      </c>
      <c r="D166" s="180" t="str">
        <f t="shared" si="58"/>
        <v>2022-23</v>
      </c>
      <c r="E166" s="180" t="str">
        <f t="shared" si="58"/>
        <v>2023-24</v>
      </c>
      <c r="F166" s="180" t="str">
        <f t="shared" si="58"/>
        <v>2024-25</v>
      </c>
      <c r="G166" s="180" t="str">
        <f t="shared" si="58"/>
        <v>2025-26</v>
      </c>
      <c r="H166" s="180" t="str">
        <f t="shared" si="58"/>
        <v>2026-27</v>
      </c>
      <c r="I166" s="180" t="str">
        <f t="shared" si="58"/>
        <v>2027-28</v>
      </c>
      <c r="J166" s="180" t="str">
        <f t="shared" si="58"/>
        <v>2028-29</v>
      </c>
      <c r="K166" s="180" t="str">
        <f t="shared" si="58"/>
        <v>2029-30</v>
      </c>
      <c r="L166" s="180" t="str">
        <f t="shared" si="58"/>
        <v>2030-31</v>
      </c>
      <c r="M166" s="180" t="str">
        <f t="shared" si="58"/>
        <v>2031-32</v>
      </c>
      <c r="N166" s="180" t="str">
        <f t="shared" si="58"/>
        <v>2032-33</v>
      </c>
      <c r="O166" s="180" t="str">
        <f t="shared" si="58"/>
        <v>2033-34</v>
      </c>
      <c r="P166" s="180" t="str">
        <f t="shared" si="58"/>
        <v>2034-35</v>
      </c>
      <c r="Q166" s="180" t="str">
        <f t="shared" si="58"/>
        <v>2035-36</v>
      </c>
      <c r="R166" s="180" t="str">
        <f t="shared" si="58"/>
        <v>2036-37</v>
      </c>
      <c r="S166" s="180" t="str">
        <f t="shared" si="58"/>
        <v>2037-38</v>
      </c>
      <c r="T166" s="180" t="str">
        <f t="shared" si="58"/>
        <v>2038-39</v>
      </c>
      <c r="U166" s="180" t="str">
        <f t="shared" si="58"/>
        <v>2039-40</v>
      </c>
      <c r="V166" s="180" t="str">
        <f t="shared" si="58"/>
        <v>2040-41</v>
      </c>
      <c r="W166" s="180" t="str">
        <f t="shared" si="58"/>
        <v>2041-42</v>
      </c>
      <c r="X166" s="180" t="str">
        <f t="shared" si="58"/>
        <v>2042-43</v>
      </c>
      <c r="Y166" s="180" t="str">
        <f t="shared" si="58"/>
        <v>2043-44</v>
      </c>
      <c r="Z166" s="180" t="str">
        <f t="shared" si="58"/>
        <v>2044-45</v>
      </c>
      <c r="AA166" s="180" t="str">
        <f t="shared" si="58"/>
        <v>2045-46</v>
      </c>
      <c r="AB166" s="180" t="str">
        <f t="shared" si="58"/>
        <v>2046-47</v>
      </c>
      <c r="AC166" s="180" t="str">
        <f t="shared" si="58"/>
        <v>2047-48</v>
      </c>
      <c r="AD166" s="180" t="str">
        <f t="shared" si="58"/>
        <v>2048-49</v>
      </c>
      <c r="AE166" s="230" t="str">
        <f t="shared" si="58"/>
        <v>2049-50</v>
      </c>
    </row>
    <row r="167" spans="1:31" x14ac:dyDescent="0.25">
      <c r="A167" s="191"/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3"/>
    </row>
    <row r="168" spans="1:31" x14ac:dyDescent="0.25">
      <c r="A168" s="191" t="s">
        <v>136</v>
      </c>
      <c r="B168" s="192">
        <f t="shared" ref="B168:AE168" si="59">+B60</f>
        <v>0</v>
      </c>
      <c r="C168" s="192">
        <f t="shared" si="59"/>
        <v>1.1214460761572218</v>
      </c>
      <c r="D168" s="192">
        <f t="shared" si="59"/>
        <v>-0.26413556937078408</v>
      </c>
      <c r="E168" s="192">
        <f t="shared" si="59"/>
        <v>-3.595955888366325</v>
      </c>
      <c r="F168" s="192">
        <f t="shared" si="59"/>
        <v>-5.0906460710419257</v>
      </c>
      <c r="G168" s="192">
        <f t="shared" si="59"/>
        <v>108.44100282727476</v>
      </c>
      <c r="H168" s="192">
        <f t="shared" si="59"/>
        <v>-49.884232208159396</v>
      </c>
      <c r="I168" s="192">
        <f t="shared" si="59"/>
        <v>64.613685055333221</v>
      </c>
      <c r="J168" s="192">
        <f t="shared" si="59"/>
        <v>109.65021989222708</v>
      </c>
      <c r="K168" s="192">
        <f t="shared" si="59"/>
        <v>117.06097889809496</v>
      </c>
      <c r="L168" s="192">
        <f t="shared" si="59"/>
        <v>114.11443348266319</v>
      </c>
      <c r="M168" s="192">
        <f t="shared" si="59"/>
        <v>125.83373314151874</v>
      </c>
      <c r="N168" s="192">
        <f t="shared" si="59"/>
        <v>246.10004223969619</v>
      </c>
      <c r="O168" s="192">
        <f t="shared" si="59"/>
        <v>248.57286152739852</v>
      </c>
      <c r="P168" s="192">
        <f t="shared" si="59"/>
        <v>267.20488178358869</v>
      </c>
      <c r="Q168" s="192">
        <f t="shared" si="59"/>
        <v>322.25484378976756</v>
      </c>
      <c r="R168" s="192">
        <f t="shared" si="59"/>
        <v>333.89627154410908</v>
      </c>
      <c r="S168" s="192">
        <f t="shared" si="59"/>
        <v>497.33756261070323</v>
      </c>
      <c r="T168" s="192">
        <f t="shared" si="59"/>
        <v>474.41020788477709</v>
      </c>
      <c r="U168" s="192">
        <f t="shared" si="59"/>
        <v>466.11167127612538</v>
      </c>
      <c r="V168" s="192">
        <f t="shared" si="59"/>
        <v>515.45042520736285</v>
      </c>
      <c r="W168" s="192">
        <f t="shared" si="59"/>
        <v>522.20957596970527</v>
      </c>
      <c r="X168" s="192">
        <f t="shared" si="59"/>
        <v>575.43042965148027</v>
      </c>
      <c r="Y168" s="192">
        <f t="shared" si="59"/>
        <v>598.48228479735212</v>
      </c>
      <c r="Z168" s="192">
        <f t="shared" si="59"/>
        <v>568.5591537863952</v>
      </c>
      <c r="AA168" s="192">
        <f t="shared" si="59"/>
        <v>588.61257158368403</v>
      </c>
      <c r="AB168" s="192">
        <f t="shared" si="59"/>
        <v>643.8031347673284</v>
      </c>
      <c r="AC168" s="192">
        <f t="shared" si="59"/>
        <v>643.47309532128816</v>
      </c>
      <c r="AD168" s="192">
        <f t="shared" si="59"/>
        <v>710.24584525924922</v>
      </c>
      <c r="AE168" s="193">
        <f t="shared" si="59"/>
        <v>709.92463728595965</v>
      </c>
    </row>
    <row r="169" spans="1:31" x14ac:dyDescent="0.25">
      <c r="A169" s="194" t="s">
        <v>137</v>
      </c>
      <c r="B169" s="158">
        <v>0</v>
      </c>
      <c r="C169" s="158">
        <v>0</v>
      </c>
      <c r="D169" s="158">
        <v>0</v>
      </c>
      <c r="E169" s="158">
        <v>0</v>
      </c>
      <c r="F169" s="158">
        <v>0</v>
      </c>
      <c r="G169" s="158">
        <v>0</v>
      </c>
      <c r="H169" s="158">
        <v>0</v>
      </c>
      <c r="I169" s="158">
        <v>0</v>
      </c>
      <c r="J169" s="158">
        <v>0</v>
      </c>
      <c r="K169" s="158">
        <v>0</v>
      </c>
      <c r="L169" s="158">
        <v>0</v>
      </c>
      <c r="M169" s="158">
        <v>0</v>
      </c>
      <c r="N169" s="158">
        <v>0</v>
      </c>
      <c r="O169" s="158">
        <v>0</v>
      </c>
      <c r="P169" s="158">
        <v>0</v>
      </c>
      <c r="Q169" s="158">
        <v>0</v>
      </c>
      <c r="R169" s="158">
        <v>0</v>
      </c>
      <c r="S169" s="158">
        <v>0</v>
      </c>
      <c r="T169" s="158">
        <v>0</v>
      </c>
      <c r="U169" s="158">
        <v>0</v>
      </c>
      <c r="V169" s="158">
        <v>0</v>
      </c>
      <c r="W169" s="158">
        <v>0</v>
      </c>
      <c r="X169" s="158">
        <v>0</v>
      </c>
      <c r="Y169" s="158">
        <v>0</v>
      </c>
      <c r="Z169" s="158">
        <v>0</v>
      </c>
      <c r="AA169" s="158">
        <v>0</v>
      </c>
      <c r="AB169" s="158">
        <v>0</v>
      </c>
      <c r="AC169" s="158">
        <v>0</v>
      </c>
      <c r="AD169" s="158">
        <v>0</v>
      </c>
      <c r="AE169" s="195">
        <f>+PV(NotSlowWACC,(40-SUM(I$116:AE$116)),AVERAGE(Y168:AC168))*-1</f>
        <v>6964.8929285268514</v>
      </c>
    </row>
    <row r="170" spans="1:31" x14ac:dyDescent="0.25">
      <c r="A170" s="185" t="s">
        <v>138</v>
      </c>
      <c r="B170" s="192">
        <f>SUM(B168:B169)</f>
        <v>0</v>
      </c>
      <c r="C170" s="192">
        <f t="shared" ref="C170:AE170" si="60">SUM(C168:C169)</f>
        <v>1.1214460761572218</v>
      </c>
      <c r="D170" s="192">
        <f t="shared" si="60"/>
        <v>-0.26413556937078408</v>
      </c>
      <c r="E170" s="192">
        <f t="shared" si="60"/>
        <v>-3.595955888366325</v>
      </c>
      <c r="F170" s="192">
        <f t="shared" si="60"/>
        <v>-5.0906460710419257</v>
      </c>
      <c r="G170" s="192">
        <f t="shared" si="60"/>
        <v>108.44100282727476</v>
      </c>
      <c r="H170" s="192">
        <f t="shared" si="60"/>
        <v>-49.884232208159396</v>
      </c>
      <c r="I170" s="192">
        <f t="shared" si="60"/>
        <v>64.613685055333221</v>
      </c>
      <c r="J170" s="192">
        <f t="shared" si="60"/>
        <v>109.65021989222708</v>
      </c>
      <c r="K170" s="192">
        <f t="shared" si="60"/>
        <v>117.06097889809496</v>
      </c>
      <c r="L170" s="192">
        <f t="shared" si="60"/>
        <v>114.11443348266319</v>
      </c>
      <c r="M170" s="192">
        <f t="shared" si="60"/>
        <v>125.83373314151874</v>
      </c>
      <c r="N170" s="192">
        <f t="shared" si="60"/>
        <v>246.10004223969619</v>
      </c>
      <c r="O170" s="192">
        <f t="shared" si="60"/>
        <v>248.57286152739852</v>
      </c>
      <c r="P170" s="192">
        <f t="shared" si="60"/>
        <v>267.20488178358869</v>
      </c>
      <c r="Q170" s="192">
        <f t="shared" si="60"/>
        <v>322.25484378976756</v>
      </c>
      <c r="R170" s="192">
        <f t="shared" si="60"/>
        <v>333.89627154410908</v>
      </c>
      <c r="S170" s="192">
        <f t="shared" si="60"/>
        <v>497.33756261070323</v>
      </c>
      <c r="T170" s="192">
        <f t="shared" si="60"/>
        <v>474.41020788477709</v>
      </c>
      <c r="U170" s="192">
        <f t="shared" si="60"/>
        <v>466.11167127612538</v>
      </c>
      <c r="V170" s="192">
        <f t="shared" si="60"/>
        <v>515.45042520736285</v>
      </c>
      <c r="W170" s="192">
        <f t="shared" si="60"/>
        <v>522.20957596970527</v>
      </c>
      <c r="X170" s="192">
        <f t="shared" si="60"/>
        <v>575.43042965148027</v>
      </c>
      <c r="Y170" s="192">
        <f t="shared" si="60"/>
        <v>598.48228479735212</v>
      </c>
      <c r="Z170" s="192">
        <f t="shared" si="60"/>
        <v>568.5591537863952</v>
      </c>
      <c r="AA170" s="192">
        <f t="shared" si="60"/>
        <v>588.61257158368403</v>
      </c>
      <c r="AB170" s="192">
        <f t="shared" si="60"/>
        <v>643.8031347673284</v>
      </c>
      <c r="AC170" s="192">
        <f t="shared" si="60"/>
        <v>643.47309532128816</v>
      </c>
      <c r="AD170" s="192">
        <f t="shared" si="60"/>
        <v>710.24584525924922</v>
      </c>
      <c r="AE170" s="193">
        <f t="shared" si="60"/>
        <v>7674.8175658128112</v>
      </c>
    </row>
    <row r="171" spans="1:31" x14ac:dyDescent="0.25">
      <c r="A171" s="185"/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3"/>
    </row>
    <row r="172" spans="1:31" x14ac:dyDescent="0.25">
      <c r="A172" s="185" t="s">
        <v>118</v>
      </c>
      <c r="B172" s="196">
        <f>XNPV(NotSlowWACC,B170:AE170,$B$10:$AE$10)</f>
        <v>5439.5225413682701</v>
      </c>
      <c r="C172" s="184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  <c r="AD172" s="184"/>
      <c r="AE172" s="163"/>
    </row>
    <row r="173" spans="1:31" ht="15.75" thickBot="1" x14ac:dyDescent="0.3">
      <c r="A173" s="234" t="s">
        <v>117</v>
      </c>
      <c r="B173" s="186">
        <f>+B160</f>
        <v>2324.3177810338302</v>
      </c>
      <c r="C173" s="184"/>
      <c r="D173" s="184"/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  <c r="Z173" s="184"/>
      <c r="AA173" s="184"/>
      <c r="AB173" s="184"/>
      <c r="AC173" s="184"/>
      <c r="AD173" s="184"/>
      <c r="AE173" s="163"/>
    </row>
    <row r="174" spans="1:31" ht="15.75" thickTop="1" x14ac:dyDescent="0.25">
      <c r="A174" s="164" t="s">
        <v>119</v>
      </c>
      <c r="B174" s="196">
        <f>+B172-B173</f>
        <v>3115.2047603344399</v>
      </c>
      <c r="C174" s="184"/>
      <c r="D174" s="184"/>
      <c r="E174" s="184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  <c r="Z174" s="184"/>
      <c r="AA174" s="184"/>
      <c r="AB174" s="184"/>
      <c r="AC174" s="184"/>
      <c r="AD174" s="184"/>
      <c r="AE174" s="163"/>
    </row>
    <row r="175" spans="1:31" ht="15.75" thickBot="1" x14ac:dyDescent="0.3">
      <c r="A175" s="185"/>
      <c r="B175" s="184"/>
      <c r="C175" s="184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63"/>
    </row>
    <row r="176" spans="1:31" ht="15.75" thickTop="1" x14ac:dyDescent="0.25">
      <c r="A176" s="223" t="str">
        <f>+A66</f>
        <v>Option 3:  600 MW in 2027 and 600 MW in 2029</v>
      </c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224"/>
    </row>
    <row r="177" spans="1:31" x14ac:dyDescent="0.25">
      <c r="A177" s="225" t="str">
        <f>+A67</f>
        <v xml:space="preserve">Scenario: </v>
      </c>
      <c r="B177" s="74" t="str">
        <f>+B67</f>
        <v>Step Change</v>
      </c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226"/>
    </row>
    <row r="178" spans="1:31" x14ac:dyDescent="0.25">
      <c r="A178" s="185"/>
      <c r="B178" s="189">
        <v>1</v>
      </c>
      <c r="C178" s="189">
        <v>1</v>
      </c>
      <c r="D178" s="189">
        <v>1</v>
      </c>
      <c r="E178" s="189">
        <v>1</v>
      </c>
      <c r="F178" s="189">
        <v>1</v>
      </c>
      <c r="G178" s="189">
        <v>1</v>
      </c>
      <c r="H178" s="189">
        <v>1</v>
      </c>
      <c r="I178" s="189">
        <v>1</v>
      </c>
      <c r="J178" s="189">
        <v>1</v>
      </c>
      <c r="K178" s="189">
        <v>1</v>
      </c>
      <c r="L178" s="189">
        <v>1</v>
      </c>
      <c r="M178" s="189">
        <v>1</v>
      </c>
      <c r="N178" s="189">
        <v>1</v>
      </c>
      <c r="O178" s="189">
        <v>1</v>
      </c>
      <c r="P178" s="189">
        <v>1</v>
      </c>
      <c r="Q178" s="189">
        <v>1</v>
      </c>
      <c r="R178" s="189">
        <v>1</v>
      </c>
      <c r="S178" s="189">
        <v>1</v>
      </c>
      <c r="T178" s="189">
        <v>1</v>
      </c>
      <c r="U178" s="189">
        <v>1</v>
      </c>
      <c r="V178" s="189">
        <v>1</v>
      </c>
      <c r="W178" s="189">
        <v>1</v>
      </c>
      <c r="X178" s="189">
        <v>1</v>
      </c>
      <c r="Y178" s="189">
        <v>1</v>
      </c>
      <c r="Z178" s="189">
        <v>1</v>
      </c>
      <c r="AA178" s="189">
        <v>1</v>
      </c>
      <c r="AB178" s="189">
        <v>1</v>
      </c>
      <c r="AC178" s="189">
        <v>1</v>
      </c>
      <c r="AD178" s="189">
        <v>1</v>
      </c>
      <c r="AE178" s="190">
        <v>1</v>
      </c>
    </row>
    <row r="179" spans="1:31" x14ac:dyDescent="0.25">
      <c r="A179" s="229" t="s">
        <v>39</v>
      </c>
      <c r="B179" s="180" t="str">
        <f>+B166</f>
        <v>2020-21</v>
      </c>
      <c r="C179" s="180" t="str">
        <f t="shared" ref="C179:AE179" si="61">+C166</f>
        <v>2021-22</v>
      </c>
      <c r="D179" s="180" t="str">
        <f t="shared" si="61"/>
        <v>2022-23</v>
      </c>
      <c r="E179" s="180" t="str">
        <f t="shared" si="61"/>
        <v>2023-24</v>
      </c>
      <c r="F179" s="180" t="str">
        <f t="shared" si="61"/>
        <v>2024-25</v>
      </c>
      <c r="G179" s="180" t="str">
        <f t="shared" si="61"/>
        <v>2025-26</v>
      </c>
      <c r="H179" s="180" t="str">
        <f t="shared" si="61"/>
        <v>2026-27</v>
      </c>
      <c r="I179" s="180" t="str">
        <f t="shared" si="61"/>
        <v>2027-28</v>
      </c>
      <c r="J179" s="180" t="str">
        <f t="shared" si="61"/>
        <v>2028-29</v>
      </c>
      <c r="K179" s="180" t="str">
        <f t="shared" si="61"/>
        <v>2029-30</v>
      </c>
      <c r="L179" s="180" t="str">
        <f t="shared" si="61"/>
        <v>2030-31</v>
      </c>
      <c r="M179" s="180" t="str">
        <f t="shared" si="61"/>
        <v>2031-32</v>
      </c>
      <c r="N179" s="180" t="str">
        <f t="shared" si="61"/>
        <v>2032-33</v>
      </c>
      <c r="O179" s="180" t="str">
        <f t="shared" si="61"/>
        <v>2033-34</v>
      </c>
      <c r="P179" s="180" t="str">
        <f t="shared" si="61"/>
        <v>2034-35</v>
      </c>
      <c r="Q179" s="180" t="str">
        <f t="shared" si="61"/>
        <v>2035-36</v>
      </c>
      <c r="R179" s="180" t="str">
        <f t="shared" si="61"/>
        <v>2036-37</v>
      </c>
      <c r="S179" s="180" t="str">
        <f t="shared" si="61"/>
        <v>2037-38</v>
      </c>
      <c r="T179" s="180" t="str">
        <f t="shared" si="61"/>
        <v>2038-39</v>
      </c>
      <c r="U179" s="180" t="str">
        <f t="shared" si="61"/>
        <v>2039-40</v>
      </c>
      <c r="V179" s="180" t="str">
        <f t="shared" si="61"/>
        <v>2040-41</v>
      </c>
      <c r="W179" s="180" t="str">
        <f t="shared" si="61"/>
        <v>2041-42</v>
      </c>
      <c r="X179" s="180" t="str">
        <f t="shared" si="61"/>
        <v>2042-43</v>
      </c>
      <c r="Y179" s="180" t="str">
        <f t="shared" si="61"/>
        <v>2043-44</v>
      </c>
      <c r="Z179" s="180" t="str">
        <f t="shared" si="61"/>
        <v>2044-45</v>
      </c>
      <c r="AA179" s="180" t="str">
        <f t="shared" si="61"/>
        <v>2045-46</v>
      </c>
      <c r="AB179" s="180" t="str">
        <f t="shared" si="61"/>
        <v>2046-47</v>
      </c>
      <c r="AC179" s="180" t="str">
        <f t="shared" si="61"/>
        <v>2047-48</v>
      </c>
      <c r="AD179" s="180" t="str">
        <f t="shared" si="61"/>
        <v>2048-49</v>
      </c>
      <c r="AE179" s="230" t="str">
        <f t="shared" si="61"/>
        <v>2049-50</v>
      </c>
    </row>
    <row r="180" spans="1:31" x14ac:dyDescent="0.25">
      <c r="A180" s="191"/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193"/>
    </row>
    <row r="181" spans="1:31" x14ac:dyDescent="0.25">
      <c r="A181" s="191" t="s">
        <v>136</v>
      </c>
      <c r="B181" s="192">
        <f t="shared" ref="B181:AE181" si="62">+B75</f>
        <v>0</v>
      </c>
      <c r="C181" s="192">
        <f t="shared" si="62"/>
        <v>36.745661359362259</v>
      </c>
      <c r="D181" s="192">
        <f t="shared" si="62"/>
        <v>39.746076462757088</v>
      </c>
      <c r="E181" s="192">
        <f t="shared" si="62"/>
        <v>61.412710963821958</v>
      </c>
      <c r="F181" s="192">
        <f t="shared" si="62"/>
        <v>84.678221636043773</v>
      </c>
      <c r="G181" s="192">
        <f t="shared" si="62"/>
        <v>121.38830719873046</v>
      </c>
      <c r="H181" s="192">
        <f t="shared" si="62"/>
        <v>32.075676535962941</v>
      </c>
      <c r="I181" s="192">
        <f t="shared" si="62"/>
        <v>169.78683883127292</v>
      </c>
      <c r="J181" s="192">
        <f t="shared" si="62"/>
        <v>192.75214961337747</v>
      </c>
      <c r="K181" s="192">
        <f t="shared" si="62"/>
        <v>157.58073699906797</v>
      </c>
      <c r="L181" s="192">
        <f t="shared" si="62"/>
        <v>206.46119970761043</v>
      </c>
      <c r="M181" s="192">
        <f t="shared" si="62"/>
        <v>294.5571640946925</v>
      </c>
      <c r="N181" s="192">
        <f t="shared" si="62"/>
        <v>329.93726642004702</v>
      </c>
      <c r="O181" s="192">
        <f t="shared" si="62"/>
        <v>371.6601537781707</v>
      </c>
      <c r="P181" s="192">
        <f t="shared" si="62"/>
        <v>438.20397759396872</v>
      </c>
      <c r="Q181" s="192">
        <f t="shared" si="62"/>
        <v>515.34008930958601</v>
      </c>
      <c r="R181" s="192">
        <f t="shared" si="62"/>
        <v>534.07697618770487</v>
      </c>
      <c r="S181" s="192">
        <f t="shared" si="62"/>
        <v>597.11867600411495</v>
      </c>
      <c r="T181" s="192">
        <f t="shared" si="62"/>
        <v>674.48365916429441</v>
      </c>
      <c r="U181" s="192">
        <f t="shared" si="62"/>
        <v>611.09285985728138</v>
      </c>
      <c r="V181" s="192">
        <f t="shared" si="62"/>
        <v>680.67353667115117</v>
      </c>
      <c r="W181" s="192">
        <f t="shared" si="62"/>
        <v>608.89291499786486</v>
      </c>
      <c r="X181" s="192">
        <f t="shared" si="62"/>
        <v>818.70037635553399</v>
      </c>
      <c r="Y181" s="192">
        <f t="shared" si="62"/>
        <v>843.08630493185706</v>
      </c>
      <c r="Z181" s="192">
        <f t="shared" si="62"/>
        <v>854.17118200099321</v>
      </c>
      <c r="AA181" s="192">
        <f t="shared" si="62"/>
        <v>857.86799404861006</v>
      </c>
      <c r="AB181" s="192">
        <f t="shared" si="62"/>
        <v>895.78292524992219</v>
      </c>
      <c r="AC181" s="192">
        <f t="shared" si="62"/>
        <v>823.00018135178902</v>
      </c>
      <c r="AD181" s="192">
        <f t="shared" si="62"/>
        <v>683.35011444612883</v>
      </c>
      <c r="AE181" s="193">
        <f t="shared" si="62"/>
        <v>626.02333076857474</v>
      </c>
    </row>
    <row r="182" spans="1:31" x14ac:dyDescent="0.25">
      <c r="A182" s="194" t="s">
        <v>137</v>
      </c>
      <c r="B182" s="158">
        <v>0</v>
      </c>
      <c r="C182" s="158">
        <v>0</v>
      </c>
      <c r="D182" s="158">
        <v>0</v>
      </c>
      <c r="E182" s="158">
        <v>0</v>
      </c>
      <c r="F182" s="158">
        <v>0</v>
      </c>
      <c r="G182" s="158">
        <v>0</v>
      </c>
      <c r="H182" s="158">
        <v>0</v>
      </c>
      <c r="I182" s="158">
        <v>0</v>
      </c>
      <c r="J182" s="158">
        <v>0</v>
      </c>
      <c r="K182" s="158">
        <v>0</v>
      </c>
      <c r="L182" s="158">
        <v>0</v>
      </c>
      <c r="M182" s="158">
        <v>0</v>
      </c>
      <c r="N182" s="158">
        <v>0</v>
      </c>
      <c r="O182" s="158">
        <v>0</v>
      </c>
      <c r="P182" s="158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58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95">
        <f>+PV(NotSlowWACC,(40-SUM(I$116:AE$116)),AVERAGE(Y181:AC181))*-1</f>
        <v>9782.4509103184173</v>
      </c>
    </row>
    <row r="183" spans="1:31" x14ac:dyDescent="0.25">
      <c r="A183" s="185" t="s">
        <v>138</v>
      </c>
      <c r="B183" s="192">
        <f>SUM(B181:B182)</f>
        <v>0</v>
      </c>
      <c r="C183" s="192">
        <f t="shared" ref="C183:AE183" si="63">SUM(C181:C182)</f>
        <v>36.745661359362259</v>
      </c>
      <c r="D183" s="192">
        <f t="shared" si="63"/>
        <v>39.746076462757088</v>
      </c>
      <c r="E183" s="192">
        <f t="shared" si="63"/>
        <v>61.412710963821958</v>
      </c>
      <c r="F183" s="192">
        <f t="shared" si="63"/>
        <v>84.678221636043773</v>
      </c>
      <c r="G183" s="192">
        <f t="shared" si="63"/>
        <v>121.38830719873046</v>
      </c>
      <c r="H183" s="192">
        <f t="shared" si="63"/>
        <v>32.075676535962941</v>
      </c>
      <c r="I183" s="192">
        <f t="shared" si="63"/>
        <v>169.78683883127292</v>
      </c>
      <c r="J183" s="192">
        <f t="shared" si="63"/>
        <v>192.75214961337747</v>
      </c>
      <c r="K183" s="192">
        <f t="shared" si="63"/>
        <v>157.58073699906797</v>
      </c>
      <c r="L183" s="192">
        <f t="shared" si="63"/>
        <v>206.46119970761043</v>
      </c>
      <c r="M183" s="192">
        <f t="shared" si="63"/>
        <v>294.5571640946925</v>
      </c>
      <c r="N183" s="192">
        <f t="shared" si="63"/>
        <v>329.93726642004702</v>
      </c>
      <c r="O183" s="192">
        <f t="shared" si="63"/>
        <v>371.6601537781707</v>
      </c>
      <c r="P183" s="192">
        <f t="shared" si="63"/>
        <v>438.20397759396872</v>
      </c>
      <c r="Q183" s="192">
        <f t="shared" si="63"/>
        <v>515.34008930958601</v>
      </c>
      <c r="R183" s="192">
        <f t="shared" si="63"/>
        <v>534.07697618770487</v>
      </c>
      <c r="S183" s="192">
        <f t="shared" si="63"/>
        <v>597.11867600411495</v>
      </c>
      <c r="T183" s="192">
        <f t="shared" si="63"/>
        <v>674.48365916429441</v>
      </c>
      <c r="U183" s="192">
        <f t="shared" si="63"/>
        <v>611.09285985728138</v>
      </c>
      <c r="V183" s="192">
        <f t="shared" si="63"/>
        <v>680.67353667115117</v>
      </c>
      <c r="W183" s="192">
        <f t="shared" si="63"/>
        <v>608.89291499786486</v>
      </c>
      <c r="X183" s="192">
        <f t="shared" si="63"/>
        <v>818.70037635553399</v>
      </c>
      <c r="Y183" s="192">
        <f t="shared" si="63"/>
        <v>843.08630493185706</v>
      </c>
      <c r="Z183" s="192">
        <f t="shared" si="63"/>
        <v>854.17118200099321</v>
      </c>
      <c r="AA183" s="192">
        <f t="shared" si="63"/>
        <v>857.86799404861006</v>
      </c>
      <c r="AB183" s="192">
        <f t="shared" si="63"/>
        <v>895.78292524992219</v>
      </c>
      <c r="AC183" s="192">
        <f t="shared" si="63"/>
        <v>823.00018135178902</v>
      </c>
      <c r="AD183" s="192">
        <f t="shared" si="63"/>
        <v>683.35011444612883</v>
      </c>
      <c r="AE183" s="193">
        <f t="shared" si="63"/>
        <v>10408.474241086991</v>
      </c>
    </row>
    <row r="184" spans="1:31" x14ac:dyDescent="0.25">
      <c r="A184" s="185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3"/>
    </row>
    <row r="185" spans="1:31" x14ac:dyDescent="0.25">
      <c r="A185" s="185" t="s">
        <v>118</v>
      </c>
      <c r="B185" s="196">
        <f>XNPV(NotSlowWACC,B183:AE183,$B$10:$AE$10)</f>
        <v>7876.3656741364521</v>
      </c>
      <c r="C185" s="184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  <c r="AC185" s="184"/>
      <c r="AD185" s="184"/>
      <c r="AE185" s="163"/>
    </row>
    <row r="186" spans="1:31" ht="15.75" thickBot="1" x14ac:dyDescent="0.3">
      <c r="A186" s="234" t="s">
        <v>117</v>
      </c>
      <c r="B186" s="186">
        <f>+B173</f>
        <v>2324.3177810338302</v>
      </c>
      <c r="C186" s="184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  <c r="Z186" s="184"/>
      <c r="AA186" s="184"/>
      <c r="AB186" s="184"/>
      <c r="AC186" s="184"/>
      <c r="AD186" s="184"/>
      <c r="AE186" s="163"/>
    </row>
    <row r="187" spans="1:31" ht="16.5" thickTop="1" thickBot="1" x14ac:dyDescent="0.3">
      <c r="A187" s="235" t="s">
        <v>119</v>
      </c>
      <c r="B187" s="236">
        <f>+B185-B186</f>
        <v>5552.0478931026219</v>
      </c>
      <c r="C187" s="18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  <c r="Z187" s="183"/>
      <c r="AA187" s="183"/>
      <c r="AB187" s="183"/>
      <c r="AC187" s="183"/>
      <c r="AD187" s="183"/>
      <c r="AE187" s="202"/>
    </row>
    <row r="188" spans="1:3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8"/>
  <sheetViews>
    <sheetView workbookViewId="0"/>
  </sheetViews>
  <sheetFormatPr defaultColWidth="0" defaultRowHeight="15" zeroHeight="1" x14ac:dyDescent="0.25"/>
  <cols>
    <col min="1" max="1" width="30.85546875" style="182" customWidth="1"/>
    <col min="2" max="31" width="12.7109375" style="182" customWidth="1"/>
    <col min="32" max="32" width="4.140625" customWidth="1"/>
    <col min="33" max="16384" width="4.140625" style="182" hidden="1"/>
  </cols>
  <sheetData>
    <row r="1" spans="1:31" ht="21" x14ac:dyDescent="0.35">
      <c r="A1" s="105" t="s">
        <v>169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x14ac:dyDescent="0.25">
      <c r="A2" s="91" t="str">
        <f>+Overview!B9</f>
        <v>Option 4:  750 MW in 2027 and 750 MW in 2029</v>
      </c>
      <c r="B2" s="184"/>
    </row>
    <row r="3" spans="1:31" x14ac:dyDescent="0.25">
      <c r="A3" s="182" t="s">
        <v>37</v>
      </c>
      <c r="B3" s="92">
        <f>+Overview!C13</f>
        <v>4.8000000000000001E-2</v>
      </c>
      <c r="C3" s="182" t="s">
        <v>105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x14ac:dyDescent="0.25">
      <c r="A4"/>
      <c r="B4" s="92">
        <f>+Overview!C14</f>
        <v>3.7999999999999999E-2</v>
      </c>
      <c r="C4" s="182" t="s">
        <v>106</v>
      </c>
      <c r="H4" s="94"/>
    </row>
    <row r="5" spans="1:31" ht="15.75" thickBot="1" x14ac:dyDescent="0.3">
      <c r="A5" s="155" t="s">
        <v>112</v>
      </c>
    </row>
    <row r="6" spans="1:31" ht="15.75" thickTop="1" x14ac:dyDescent="0.25">
      <c r="A6" s="71" t="str">
        <f>+A2</f>
        <v>Option 4:  750 MW in 2027 and 750 MW in 2029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x14ac:dyDescent="0.25">
      <c r="A7" s="73" t="s">
        <v>72</v>
      </c>
      <c r="B7" s="74" t="str">
        <f>+Overview!D6</f>
        <v xml:space="preserve">Slow Change 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1:31" x14ac:dyDescent="0.25">
      <c r="A8" s="2" t="s">
        <v>34</v>
      </c>
      <c r="B8" s="1">
        <v>0</v>
      </c>
      <c r="C8" s="1">
        <f>+B8+1</f>
        <v>1</v>
      </c>
      <c r="D8" s="1">
        <f t="shared" ref="D8:AE8" si="0">+C8+1</f>
        <v>2</v>
      </c>
      <c r="E8" s="1">
        <f t="shared" si="0"/>
        <v>3</v>
      </c>
      <c r="F8" s="1">
        <f t="shared" si="0"/>
        <v>4</v>
      </c>
      <c r="G8" s="1">
        <f t="shared" si="0"/>
        <v>5</v>
      </c>
      <c r="H8" s="8">
        <f t="shared" si="0"/>
        <v>6</v>
      </c>
      <c r="I8" s="1">
        <f t="shared" si="0"/>
        <v>7</v>
      </c>
      <c r="J8" s="1">
        <f t="shared" si="0"/>
        <v>8</v>
      </c>
      <c r="K8" s="1">
        <f t="shared" si="0"/>
        <v>9</v>
      </c>
      <c r="L8" s="1">
        <f t="shared" si="0"/>
        <v>10</v>
      </c>
      <c r="M8" s="1">
        <f t="shared" si="0"/>
        <v>11</v>
      </c>
      <c r="N8" s="1">
        <f t="shared" si="0"/>
        <v>12</v>
      </c>
      <c r="O8" s="1">
        <f t="shared" si="0"/>
        <v>13</v>
      </c>
      <c r="P8" s="1">
        <f t="shared" si="0"/>
        <v>14</v>
      </c>
      <c r="Q8" s="1">
        <f t="shared" si="0"/>
        <v>15</v>
      </c>
      <c r="R8" s="1">
        <f t="shared" si="0"/>
        <v>16</v>
      </c>
      <c r="S8" s="1">
        <f t="shared" si="0"/>
        <v>17</v>
      </c>
      <c r="T8" s="1">
        <f t="shared" si="0"/>
        <v>18</v>
      </c>
      <c r="U8" s="1">
        <f t="shared" si="0"/>
        <v>19</v>
      </c>
      <c r="V8" s="1">
        <f t="shared" si="0"/>
        <v>20</v>
      </c>
      <c r="W8" s="1">
        <f t="shared" si="0"/>
        <v>21</v>
      </c>
      <c r="X8" s="1">
        <f t="shared" si="0"/>
        <v>22</v>
      </c>
      <c r="Y8" s="1">
        <f t="shared" si="0"/>
        <v>23</v>
      </c>
      <c r="Z8" s="1">
        <f t="shared" si="0"/>
        <v>24</v>
      </c>
      <c r="AA8" s="1">
        <f t="shared" si="0"/>
        <v>25</v>
      </c>
      <c r="AB8" s="1">
        <f t="shared" si="0"/>
        <v>26</v>
      </c>
      <c r="AC8" s="1">
        <f t="shared" si="0"/>
        <v>27</v>
      </c>
      <c r="AD8" s="1">
        <f t="shared" si="0"/>
        <v>28</v>
      </c>
      <c r="AE8" s="1">
        <f t="shared" si="0"/>
        <v>29</v>
      </c>
    </row>
    <row r="9" spans="1:31" x14ac:dyDescent="0.25">
      <c r="A9" t="s">
        <v>35</v>
      </c>
      <c r="B9" s="4">
        <v>1</v>
      </c>
      <c r="C9" s="4">
        <f t="shared" ref="C9:AE9" si="1">1/((1+SlowWACC)^((C10-$B$10)/365))</f>
        <v>0.96339113680154143</v>
      </c>
      <c r="D9" s="4">
        <f t="shared" si="1"/>
        <v>0.9281224824677663</v>
      </c>
      <c r="E9" s="4">
        <f t="shared" si="1"/>
        <v>0.89414497347569</v>
      </c>
      <c r="F9" s="4">
        <f t="shared" si="1"/>
        <v>0.86132332774791709</v>
      </c>
      <c r="G9" s="4">
        <f t="shared" si="1"/>
        <v>0.82979125987275248</v>
      </c>
      <c r="H9" s="4">
        <f t="shared" si="1"/>
        <v>0.79941354515679419</v>
      </c>
      <c r="I9" s="4">
        <f t="shared" si="1"/>
        <v>0.77014792404315435</v>
      </c>
      <c r="J9" s="4">
        <f t="shared" si="1"/>
        <v>0.74187787492274582</v>
      </c>
      <c r="K9" s="4">
        <f t="shared" si="1"/>
        <v>0.71471856928973576</v>
      </c>
      <c r="L9" s="4">
        <f t="shared" si="1"/>
        <v>0.68855353496120986</v>
      </c>
      <c r="M9" s="4">
        <f t="shared" si="1"/>
        <v>0.66334637279499975</v>
      </c>
      <c r="N9" s="4">
        <f t="shared" si="1"/>
        <v>0.63899672001101238</v>
      </c>
      <c r="O9" s="4">
        <f t="shared" si="1"/>
        <v>0.61560377650386555</v>
      </c>
      <c r="P9" s="4">
        <f t="shared" si="1"/>
        <v>0.59306722206538098</v>
      </c>
      <c r="Q9" s="4">
        <f t="shared" si="1"/>
        <v>0.57135570526529955</v>
      </c>
      <c r="R9" s="4">
        <f t="shared" si="1"/>
        <v>0.55038278129988927</v>
      </c>
      <c r="S9" s="4">
        <f t="shared" si="1"/>
        <v>0.53023389335249438</v>
      </c>
      <c r="T9" s="4">
        <f t="shared" si="1"/>
        <v>0.51082263328756683</v>
      </c>
      <c r="U9" s="4">
        <f t="shared" si="1"/>
        <v>0.49212199738686585</v>
      </c>
      <c r="V9" s="4">
        <f t="shared" si="1"/>
        <v>0.47405752872437462</v>
      </c>
      <c r="W9" s="4">
        <f t="shared" si="1"/>
        <v>0.45670282150710462</v>
      </c>
      <c r="X9" s="4">
        <f t="shared" si="1"/>
        <v>0.43998345039220105</v>
      </c>
      <c r="Y9" s="4">
        <f t="shared" si="1"/>
        <v>0.42387615644720705</v>
      </c>
      <c r="Z9" s="4">
        <f t="shared" si="1"/>
        <v>0.40831680818483218</v>
      </c>
      <c r="AA9" s="4">
        <f t="shared" si="1"/>
        <v>0.39336879401236235</v>
      </c>
      <c r="AB9" s="4">
        <f t="shared" si="1"/>
        <v>0.37896800964582117</v>
      </c>
      <c r="AC9" s="4">
        <f t="shared" si="1"/>
        <v>0.3650944216241051</v>
      </c>
      <c r="AD9" s="4">
        <f t="shared" si="1"/>
        <v>0.35169279200116749</v>
      </c>
      <c r="AE9" s="4">
        <f t="shared" si="1"/>
        <v>0.33881771869091287</v>
      </c>
    </row>
    <row r="10" spans="1:31" x14ac:dyDescent="0.25">
      <c r="A10" s="5" t="s">
        <v>70</v>
      </c>
      <c r="B10" s="6">
        <v>44013</v>
      </c>
      <c r="C10" s="6">
        <f>EDATE(B10,12)</f>
        <v>44378</v>
      </c>
      <c r="D10" s="6">
        <f t="shared" ref="D10:AE10" si="2">EDATE(C10,12)</f>
        <v>44743</v>
      </c>
      <c r="E10" s="6">
        <f t="shared" si="2"/>
        <v>45108</v>
      </c>
      <c r="F10" s="6">
        <f t="shared" si="2"/>
        <v>45474</v>
      </c>
      <c r="G10" s="6">
        <f t="shared" si="2"/>
        <v>45839</v>
      </c>
      <c r="H10" s="6">
        <f t="shared" si="2"/>
        <v>46204</v>
      </c>
      <c r="I10" s="6">
        <f t="shared" si="2"/>
        <v>46569</v>
      </c>
      <c r="J10" s="6">
        <f t="shared" si="2"/>
        <v>46935</v>
      </c>
      <c r="K10" s="6">
        <f t="shared" si="2"/>
        <v>47300</v>
      </c>
      <c r="L10" s="6">
        <f t="shared" si="2"/>
        <v>47665</v>
      </c>
      <c r="M10" s="6">
        <f t="shared" si="2"/>
        <v>48030</v>
      </c>
      <c r="N10" s="6">
        <f t="shared" si="2"/>
        <v>48396</v>
      </c>
      <c r="O10" s="6">
        <f t="shared" si="2"/>
        <v>48761</v>
      </c>
      <c r="P10" s="6">
        <f t="shared" si="2"/>
        <v>49126</v>
      </c>
      <c r="Q10" s="6">
        <f t="shared" si="2"/>
        <v>49491</v>
      </c>
      <c r="R10" s="6">
        <f t="shared" si="2"/>
        <v>49857</v>
      </c>
      <c r="S10" s="6">
        <f t="shared" si="2"/>
        <v>50222</v>
      </c>
      <c r="T10" s="6">
        <f t="shared" si="2"/>
        <v>50587</v>
      </c>
      <c r="U10" s="6">
        <f t="shared" si="2"/>
        <v>50952</v>
      </c>
      <c r="V10" s="6">
        <f t="shared" si="2"/>
        <v>51318</v>
      </c>
      <c r="W10" s="6">
        <f t="shared" si="2"/>
        <v>51683</v>
      </c>
      <c r="X10" s="6">
        <f t="shared" si="2"/>
        <v>52048</v>
      </c>
      <c r="Y10" s="6">
        <f t="shared" si="2"/>
        <v>52413</v>
      </c>
      <c r="Z10" s="6">
        <f t="shared" si="2"/>
        <v>52779</v>
      </c>
      <c r="AA10" s="6">
        <f t="shared" si="2"/>
        <v>53144</v>
      </c>
      <c r="AB10" s="6">
        <f t="shared" si="2"/>
        <v>53509</v>
      </c>
      <c r="AC10" s="6">
        <f t="shared" si="2"/>
        <v>53874</v>
      </c>
      <c r="AD10" s="6">
        <f t="shared" si="2"/>
        <v>54240</v>
      </c>
      <c r="AE10" s="6">
        <f t="shared" si="2"/>
        <v>54605</v>
      </c>
    </row>
    <row r="11" spans="1:31" x14ac:dyDescent="0.25">
      <c r="A11" s="179" t="s">
        <v>39</v>
      </c>
      <c r="B11" s="180" t="s">
        <v>2</v>
      </c>
      <c r="C11" s="180" t="s">
        <v>3</v>
      </c>
      <c r="D11" s="180" t="s">
        <v>4</v>
      </c>
      <c r="E11" s="180" t="s">
        <v>5</v>
      </c>
      <c r="F11" s="180" t="s">
        <v>6</v>
      </c>
      <c r="G11" s="180" t="s">
        <v>7</v>
      </c>
      <c r="H11" s="180" t="s">
        <v>8</v>
      </c>
      <c r="I11" s="180" t="s">
        <v>9</v>
      </c>
      <c r="J11" s="180" t="s">
        <v>10</v>
      </c>
      <c r="K11" s="180" t="s">
        <v>11</v>
      </c>
      <c r="L11" s="180" t="s">
        <v>12</v>
      </c>
      <c r="M11" s="180" t="s">
        <v>13</v>
      </c>
      <c r="N11" s="180" t="s">
        <v>14</v>
      </c>
      <c r="O11" s="180" t="s">
        <v>15</v>
      </c>
      <c r="P11" s="180" t="s">
        <v>16</v>
      </c>
      <c r="Q11" s="180" t="s">
        <v>17</v>
      </c>
      <c r="R11" s="180" t="s">
        <v>18</v>
      </c>
      <c r="S11" s="180" t="s">
        <v>19</v>
      </c>
      <c r="T11" s="180" t="s">
        <v>20</v>
      </c>
      <c r="U11" s="180" t="s">
        <v>21</v>
      </c>
      <c r="V11" s="180" t="s">
        <v>22</v>
      </c>
      <c r="W11" s="180" t="s">
        <v>23</v>
      </c>
      <c r="X11" s="180" t="s">
        <v>24</v>
      </c>
      <c r="Y11" s="180" t="s">
        <v>25</v>
      </c>
      <c r="Z11" s="180" t="s">
        <v>26</v>
      </c>
      <c r="AA11" s="180" t="s">
        <v>27</v>
      </c>
      <c r="AB11" s="180" t="s">
        <v>28</v>
      </c>
      <c r="AC11" s="180" t="s">
        <v>29</v>
      </c>
      <c r="AD11" s="180" t="s">
        <v>30</v>
      </c>
      <c r="AE11" s="180" t="s">
        <v>31</v>
      </c>
    </row>
    <row r="12" spans="1:31" x14ac:dyDescent="0.25">
      <c r="A12" s="52" t="s">
        <v>111</v>
      </c>
      <c r="B12" s="77">
        <v>0</v>
      </c>
      <c r="C12" s="77">
        <v>-5.1452753714666859E-3</v>
      </c>
      <c r="D12" s="77">
        <v>-2.1269605891115728</v>
      </c>
      <c r="E12" s="77">
        <v>-3.5338527438075187</v>
      </c>
      <c r="F12" s="77">
        <v>-19.099532358108117</v>
      </c>
      <c r="G12" s="77">
        <v>17.004511466448712</v>
      </c>
      <c r="H12" s="77">
        <v>9.2061099432853268</v>
      </c>
      <c r="I12" s="77">
        <v>116.34244073165408</v>
      </c>
      <c r="J12" s="77">
        <v>465.78650993779888</v>
      </c>
      <c r="K12" s="77">
        <v>169.61834216116912</v>
      </c>
      <c r="L12" s="77">
        <v>151.43575534629375</v>
      </c>
      <c r="M12" s="77">
        <v>140.59847969629698</v>
      </c>
      <c r="N12" s="77">
        <v>152.58824764747249</v>
      </c>
      <c r="O12" s="77">
        <v>148.76924853998895</v>
      </c>
      <c r="P12" s="77">
        <v>153.59470326899367</v>
      </c>
      <c r="Q12" s="77">
        <v>126.72469449998057</v>
      </c>
      <c r="R12" s="77">
        <v>128.66686139534141</v>
      </c>
      <c r="S12" s="77">
        <v>154.90016887245841</v>
      </c>
      <c r="T12" s="77">
        <v>412.61028761288935</v>
      </c>
      <c r="U12" s="77">
        <v>201.24369033623955</v>
      </c>
      <c r="V12" s="77">
        <v>165.11144884582419</v>
      </c>
      <c r="W12" s="77">
        <v>146.716299078925</v>
      </c>
      <c r="X12" s="77">
        <v>162.01317560821698</v>
      </c>
      <c r="Y12" s="77">
        <v>172.77707179990219</v>
      </c>
      <c r="Z12" s="77">
        <v>174.31750579478148</v>
      </c>
      <c r="AA12" s="77">
        <v>165.36085267278202</v>
      </c>
      <c r="AB12" s="77">
        <v>160.49442748301118</v>
      </c>
      <c r="AC12" s="77">
        <v>153.64461685899434</v>
      </c>
      <c r="AD12" s="77">
        <v>282.60472157044933</v>
      </c>
      <c r="AE12" s="77">
        <v>297.15043645379541</v>
      </c>
    </row>
    <row r="13" spans="1:31" x14ac:dyDescent="0.25">
      <c r="A13" s="48" t="s">
        <v>42</v>
      </c>
      <c r="B13" s="49">
        <f t="shared" ref="B13:AE13" si="3">+B12/B9</f>
        <v>0</v>
      </c>
      <c r="C13" s="49">
        <f t="shared" si="3"/>
        <v>-5.3407958355824198E-3</v>
      </c>
      <c r="D13" s="49">
        <f t="shared" si="3"/>
        <v>-2.2916809249747296</v>
      </c>
      <c r="E13" s="49">
        <f t="shared" si="3"/>
        <v>-3.9522145162555087</v>
      </c>
      <c r="F13" s="49">
        <f t="shared" si="3"/>
        <v>-22.174637261999205</v>
      </c>
      <c r="G13" s="49">
        <f t="shared" si="3"/>
        <v>20.492516960297138</v>
      </c>
      <c r="H13" s="49">
        <f t="shared" si="3"/>
        <v>11.516079504857117</v>
      </c>
      <c r="I13" s="49">
        <f t="shared" si="3"/>
        <v>151.06505789287172</v>
      </c>
      <c r="J13" s="49">
        <f t="shared" si="3"/>
        <v>627.84795945869496</v>
      </c>
      <c r="K13" s="49">
        <f t="shared" si="3"/>
        <v>237.32186268747762</v>
      </c>
      <c r="L13" s="49">
        <f t="shared" si="3"/>
        <v>219.93316083233091</v>
      </c>
      <c r="M13" s="49">
        <f t="shared" si="3"/>
        <v>211.95334061131206</v>
      </c>
      <c r="N13" s="49">
        <f t="shared" si="3"/>
        <v>238.7934755672029</v>
      </c>
      <c r="O13" s="49">
        <f t="shared" si="3"/>
        <v>241.66396344232757</v>
      </c>
      <c r="P13" s="49">
        <f t="shared" si="3"/>
        <v>258.9836321321111</v>
      </c>
      <c r="Q13" s="49">
        <f t="shared" si="3"/>
        <v>221.79649792967072</v>
      </c>
      <c r="R13" s="49">
        <f t="shared" si="3"/>
        <v>233.77704711520434</v>
      </c>
      <c r="S13" s="49">
        <f t="shared" si="3"/>
        <v>292.13554775436103</v>
      </c>
      <c r="T13" s="49">
        <f t="shared" si="3"/>
        <v>807.73689481493864</v>
      </c>
      <c r="U13" s="49">
        <f t="shared" si="3"/>
        <v>408.93049163587443</v>
      </c>
      <c r="V13" s="49">
        <f t="shared" si="3"/>
        <v>348.29411799474423</v>
      </c>
      <c r="W13" s="49">
        <f t="shared" si="3"/>
        <v>321.25113349369275</v>
      </c>
      <c r="X13" s="49">
        <f t="shared" si="3"/>
        <v>368.22561272202057</v>
      </c>
      <c r="Y13" s="49">
        <f t="shared" si="3"/>
        <v>407.61215079438239</v>
      </c>
      <c r="Z13" s="49">
        <f t="shared" si="3"/>
        <v>426.91729142796743</v>
      </c>
      <c r="AA13" s="49">
        <f t="shared" si="3"/>
        <v>420.37104922864125</v>
      </c>
      <c r="AB13" s="49">
        <f t="shared" si="3"/>
        <v>423.50389319934231</v>
      </c>
      <c r="AC13" s="49">
        <f t="shared" si="3"/>
        <v>420.8352901573067</v>
      </c>
      <c r="AD13" s="49">
        <f t="shared" si="3"/>
        <v>803.55562581308516</v>
      </c>
      <c r="AE13" s="49">
        <f t="shared" si="3"/>
        <v>877.02153713180348</v>
      </c>
    </row>
    <row r="14" spans="1:31" x14ac:dyDescent="0.25">
      <c r="A14" s="50" t="s">
        <v>40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f>+'FCAS benefits'!K10</f>
        <v>15.788363499540408</v>
      </c>
      <c r="J14" s="51">
        <f>+'FCAS benefits'!L10</f>
        <v>15.876122651112929</v>
      </c>
      <c r="K14" s="51">
        <f>+'FCAS benefits'!M10</f>
        <v>15.961779131322926</v>
      </c>
      <c r="L14" s="51">
        <f>+'FCAS benefits'!N10</f>
        <v>16.048292176335021</v>
      </c>
      <c r="M14" s="51">
        <f>+'FCAS benefits'!O10</f>
        <v>16.135670351797238</v>
      </c>
      <c r="N14" s="51">
        <f>+'FCAS benefits'!P10</f>
        <v>16.223922309014075</v>
      </c>
      <c r="O14" s="51">
        <f>+'FCAS benefits'!Q10</f>
        <v>16.313056785803084</v>
      </c>
      <c r="P14" s="51">
        <f>+'FCAS benefits'!R10</f>
        <v>16.40308260735998</v>
      </c>
      <c r="Q14" s="51">
        <f>+'FCAS benefits'!S10</f>
        <v>16.49400868713245</v>
      </c>
      <c r="R14" s="51">
        <f>+'FCAS benefits'!T10</f>
        <v>16.585844027702642</v>
      </c>
      <c r="S14" s="51">
        <f>+'FCAS benefits'!U10</f>
        <v>16.678597721678535</v>
      </c>
      <c r="T14" s="51">
        <f>+'FCAS benefits'!V10</f>
        <v>16.772278952594188</v>
      </c>
      <c r="U14" s="51">
        <f>+'FCAS benefits'!W10</f>
        <v>16.866896995818998</v>
      </c>
      <c r="V14" s="51">
        <f>+'FCAS benefits'!X10</f>
        <v>16.962461219476054</v>
      </c>
      <c r="W14" s="51">
        <f>+'FCAS benefits'!Y10</f>
        <v>17.058981085369684</v>
      </c>
      <c r="X14" s="51">
        <f>+'FCAS benefits'!Z10</f>
        <v>17.156466149922252</v>
      </c>
      <c r="Y14" s="51">
        <f>+'FCAS benefits'!AA10</f>
        <v>17.25492606512034</v>
      </c>
      <c r="Z14" s="51">
        <f>+'FCAS benefits'!AB10</f>
        <v>17.354370579470412</v>
      </c>
      <c r="AA14" s="51">
        <f>+'FCAS benefits'!AC10</f>
        <v>17.454809538963978</v>
      </c>
      <c r="AB14" s="51">
        <f>+'FCAS benefits'!AD10</f>
        <v>17.556252888052487</v>
      </c>
      <c r="AC14" s="51">
        <f>+'FCAS benefits'!AE10</f>
        <v>17.658710670631876</v>
      </c>
      <c r="AD14" s="51">
        <f>+'FCAS benefits'!AF10</f>
        <v>17.762193031037071</v>
      </c>
      <c r="AE14" s="51">
        <f>+'FCAS benefits'!AG10</f>
        <v>17.866710215046304</v>
      </c>
    </row>
    <row r="15" spans="1:31" x14ac:dyDescent="0.25">
      <c r="A15" s="46" t="s">
        <v>41</v>
      </c>
      <c r="B15" s="47">
        <f>+B14+B13</f>
        <v>0</v>
      </c>
      <c r="C15" s="47">
        <f t="shared" ref="C15:AE15" si="4">+C14+C13</f>
        <v>-5.3407958355824198E-3</v>
      </c>
      <c r="D15" s="47">
        <f t="shared" si="4"/>
        <v>-2.2916809249747296</v>
      </c>
      <c r="E15" s="47">
        <f t="shared" si="4"/>
        <v>-3.9522145162555087</v>
      </c>
      <c r="F15" s="47">
        <f t="shared" si="4"/>
        <v>-22.174637261999205</v>
      </c>
      <c r="G15" s="47">
        <f t="shared" si="4"/>
        <v>20.492516960297138</v>
      </c>
      <c r="H15" s="47">
        <f t="shared" si="4"/>
        <v>11.516079504857117</v>
      </c>
      <c r="I15" s="47">
        <f t="shared" si="4"/>
        <v>166.85342139241212</v>
      </c>
      <c r="J15" s="47">
        <f t="shared" si="4"/>
        <v>643.72408210980791</v>
      </c>
      <c r="K15" s="47">
        <f t="shared" si="4"/>
        <v>253.28364181880053</v>
      </c>
      <c r="L15" s="47">
        <f t="shared" si="4"/>
        <v>235.98145300866594</v>
      </c>
      <c r="M15" s="47">
        <f t="shared" si="4"/>
        <v>228.0890109631093</v>
      </c>
      <c r="N15" s="47">
        <f t="shared" si="4"/>
        <v>255.01739787621699</v>
      </c>
      <c r="O15" s="47">
        <f t="shared" si="4"/>
        <v>257.97702022813064</v>
      </c>
      <c r="P15" s="47">
        <f t="shared" si="4"/>
        <v>275.38671473947107</v>
      </c>
      <c r="Q15" s="47">
        <f t="shared" si="4"/>
        <v>238.29050661680316</v>
      </c>
      <c r="R15" s="47">
        <f t="shared" si="4"/>
        <v>250.36289114290699</v>
      </c>
      <c r="S15" s="47">
        <f t="shared" si="4"/>
        <v>308.81414547603958</v>
      </c>
      <c r="T15" s="47">
        <f t="shared" si="4"/>
        <v>824.50917376753284</v>
      </c>
      <c r="U15" s="47">
        <f t="shared" si="4"/>
        <v>425.79738863169342</v>
      </c>
      <c r="V15" s="47">
        <f t="shared" si="4"/>
        <v>365.25657921422027</v>
      </c>
      <c r="W15" s="47">
        <f t="shared" si="4"/>
        <v>338.31011457906243</v>
      </c>
      <c r="X15" s="47">
        <f t="shared" si="4"/>
        <v>385.38207887194284</v>
      </c>
      <c r="Y15" s="47">
        <f t="shared" si="4"/>
        <v>424.86707685950273</v>
      </c>
      <c r="Z15" s="47">
        <f t="shared" si="4"/>
        <v>444.27166200743784</v>
      </c>
      <c r="AA15" s="47">
        <f t="shared" si="4"/>
        <v>437.82585876760521</v>
      </c>
      <c r="AB15" s="47">
        <f t="shared" si="4"/>
        <v>441.0601460873948</v>
      </c>
      <c r="AC15" s="47">
        <f t="shared" si="4"/>
        <v>438.49400082793858</v>
      </c>
      <c r="AD15" s="47">
        <f t="shared" si="4"/>
        <v>821.31781884412226</v>
      </c>
      <c r="AE15" s="47">
        <f t="shared" si="4"/>
        <v>894.88824734684977</v>
      </c>
    </row>
    <row r="16" spans="1:31" x14ac:dyDescent="0.25">
      <c r="A16" s="53" t="s">
        <v>67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f>+'Project costs'!E7</f>
        <v>121.92854483846159</v>
      </c>
      <c r="J16" s="181">
        <f>+I16</f>
        <v>121.92854483846159</v>
      </c>
      <c r="K16" s="181">
        <f>+'Project costs'!F7</f>
        <v>196.71764835943168</v>
      </c>
      <c r="L16" s="181">
        <f>+K16</f>
        <v>196.71764835943168</v>
      </c>
      <c r="M16" s="181">
        <f>+L16</f>
        <v>196.71764835943168</v>
      </c>
      <c r="N16" s="181">
        <f>+M16</f>
        <v>196.71764835943168</v>
      </c>
      <c r="O16" s="181">
        <f t="shared" ref="O16:AE16" si="5">+N16</f>
        <v>196.71764835943168</v>
      </c>
      <c r="P16" s="181">
        <f t="shared" si="5"/>
        <v>196.71764835943168</v>
      </c>
      <c r="Q16" s="181">
        <f t="shared" si="5"/>
        <v>196.71764835943168</v>
      </c>
      <c r="R16" s="181">
        <f t="shared" si="5"/>
        <v>196.71764835943168</v>
      </c>
      <c r="S16" s="181">
        <f t="shared" si="5"/>
        <v>196.71764835943168</v>
      </c>
      <c r="T16" s="181">
        <f t="shared" si="5"/>
        <v>196.71764835943168</v>
      </c>
      <c r="U16" s="181">
        <f t="shared" si="5"/>
        <v>196.71764835943168</v>
      </c>
      <c r="V16" s="181">
        <f t="shared" si="5"/>
        <v>196.71764835943168</v>
      </c>
      <c r="W16" s="181">
        <f t="shared" si="5"/>
        <v>196.71764835943168</v>
      </c>
      <c r="X16" s="181">
        <f t="shared" si="5"/>
        <v>196.71764835943168</v>
      </c>
      <c r="Y16" s="181">
        <f t="shared" si="5"/>
        <v>196.71764835943168</v>
      </c>
      <c r="Z16" s="181">
        <f t="shared" si="5"/>
        <v>196.71764835943168</v>
      </c>
      <c r="AA16" s="181">
        <f t="shared" si="5"/>
        <v>196.71764835943168</v>
      </c>
      <c r="AB16" s="181">
        <f t="shared" si="5"/>
        <v>196.71764835943168</v>
      </c>
      <c r="AC16" s="181">
        <f t="shared" si="5"/>
        <v>196.71764835943168</v>
      </c>
      <c r="AD16" s="181">
        <f t="shared" si="5"/>
        <v>196.71764835943168</v>
      </c>
      <c r="AE16" s="181">
        <f t="shared" si="5"/>
        <v>196.71764835943168</v>
      </c>
    </row>
    <row r="17" spans="1:31" x14ac:dyDescent="0.25">
      <c r="A17" s="182" t="s">
        <v>68</v>
      </c>
      <c r="B17" s="156">
        <f>XNPV(SlowWACC,B15:AE15,$B$10:$AE$10)</f>
        <v>4606.063890397495</v>
      </c>
      <c r="C17" s="134"/>
      <c r="D17" s="135"/>
      <c r="E17" s="136"/>
      <c r="F17" s="137"/>
      <c r="G17" s="9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</row>
    <row r="18" spans="1:31" x14ac:dyDescent="0.25">
      <c r="A18" s="182" t="s">
        <v>69</v>
      </c>
      <c r="B18" s="156">
        <f>+XNPV(SlowWACC,B16:AE16,$B$10:$AE$10)</f>
        <v>2269.5822513332046</v>
      </c>
      <c r="C18" s="134"/>
      <c r="D18" s="135"/>
      <c r="E18" s="136"/>
      <c r="F18" s="137"/>
      <c r="G18" s="97"/>
      <c r="H18" s="95"/>
      <c r="I18" s="95"/>
      <c r="J18" s="96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</row>
    <row r="19" spans="1:31" ht="15.75" thickBot="1" x14ac:dyDescent="0.3">
      <c r="A19" s="78" t="s">
        <v>119</v>
      </c>
      <c r="B19" s="157">
        <f>+B17-B18</f>
        <v>2336.4816390642904</v>
      </c>
      <c r="C19" s="134"/>
      <c r="D19" s="135"/>
      <c r="E19" s="136"/>
      <c r="F19" s="137"/>
      <c r="G19" s="97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</row>
    <row r="20" spans="1:31" ht="16.5" thickTop="1" thickBot="1" x14ac:dyDescent="0.3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</row>
    <row r="21" spans="1:31" ht="15.75" thickTop="1" x14ac:dyDescent="0.25">
      <c r="A21" s="71" t="str">
        <f>+A2</f>
        <v>Option 4:  750 MW in 2027 and 750 MW in 2029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</row>
    <row r="22" spans="1:31" x14ac:dyDescent="0.25">
      <c r="A22" s="73" t="s">
        <v>72</v>
      </c>
      <c r="B22" s="74" t="str">
        <f>+Overview!D7</f>
        <v>Central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</row>
    <row r="23" spans="1:31" x14ac:dyDescent="0.25">
      <c r="A23" s="2" t="s">
        <v>34</v>
      </c>
      <c r="B23" s="1">
        <v>0</v>
      </c>
      <c r="C23" s="1">
        <f>+B23+1</f>
        <v>1</v>
      </c>
      <c r="D23" s="1">
        <f t="shared" ref="D23:AE23" si="6">+C23+1</f>
        <v>2</v>
      </c>
      <c r="E23" s="1">
        <f t="shared" si="6"/>
        <v>3</v>
      </c>
      <c r="F23" s="1">
        <f t="shared" si="6"/>
        <v>4</v>
      </c>
      <c r="G23" s="1">
        <f t="shared" si="6"/>
        <v>5</v>
      </c>
      <c r="H23" s="8">
        <f t="shared" si="6"/>
        <v>6</v>
      </c>
      <c r="I23" s="1">
        <f t="shared" si="6"/>
        <v>7</v>
      </c>
      <c r="J23" s="1">
        <f t="shared" si="6"/>
        <v>8</v>
      </c>
      <c r="K23" s="1">
        <f t="shared" si="6"/>
        <v>9</v>
      </c>
      <c r="L23" s="1">
        <f t="shared" si="6"/>
        <v>10</v>
      </c>
      <c r="M23" s="1">
        <f t="shared" si="6"/>
        <v>11</v>
      </c>
      <c r="N23" s="1">
        <f t="shared" si="6"/>
        <v>12</v>
      </c>
      <c r="O23" s="1">
        <f t="shared" si="6"/>
        <v>13</v>
      </c>
      <c r="P23" s="1">
        <f t="shared" si="6"/>
        <v>14</v>
      </c>
      <c r="Q23" s="1">
        <f t="shared" si="6"/>
        <v>15</v>
      </c>
      <c r="R23" s="1">
        <f t="shared" si="6"/>
        <v>16</v>
      </c>
      <c r="S23" s="1">
        <f t="shared" si="6"/>
        <v>17</v>
      </c>
      <c r="T23" s="1">
        <f t="shared" si="6"/>
        <v>18</v>
      </c>
      <c r="U23" s="1">
        <f t="shared" si="6"/>
        <v>19</v>
      </c>
      <c r="V23" s="1">
        <f t="shared" si="6"/>
        <v>20</v>
      </c>
      <c r="W23" s="1">
        <f t="shared" si="6"/>
        <v>21</v>
      </c>
      <c r="X23" s="1">
        <f t="shared" si="6"/>
        <v>22</v>
      </c>
      <c r="Y23" s="1">
        <f t="shared" si="6"/>
        <v>23</v>
      </c>
      <c r="Z23" s="1">
        <f t="shared" si="6"/>
        <v>24</v>
      </c>
      <c r="AA23" s="1">
        <f t="shared" si="6"/>
        <v>25</v>
      </c>
      <c r="AB23" s="1">
        <f t="shared" si="6"/>
        <v>26</v>
      </c>
      <c r="AC23" s="1">
        <f t="shared" si="6"/>
        <v>27</v>
      </c>
      <c r="AD23" s="1">
        <f t="shared" si="6"/>
        <v>28</v>
      </c>
      <c r="AE23" s="1">
        <f t="shared" si="6"/>
        <v>29</v>
      </c>
    </row>
    <row r="24" spans="1:31" x14ac:dyDescent="0.25">
      <c r="A24" t="s">
        <v>35</v>
      </c>
      <c r="B24" s="4">
        <v>1</v>
      </c>
      <c r="C24" s="4">
        <f t="shared" ref="C24:AE24" si="7">1/((1+NotSlowWACC)^((C25-$B$10)/365))</f>
        <v>0.95419847328244267</v>
      </c>
      <c r="D24" s="4">
        <f t="shared" si="7"/>
        <v>0.91049472641454443</v>
      </c>
      <c r="E24" s="4">
        <f t="shared" si="7"/>
        <v>0.86879267787647374</v>
      </c>
      <c r="F24" s="4">
        <f t="shared" si="7"/>
        <v>0.82889417004246191</v>
      </c>
      <c r="G24" s="4">
        <f t="shared" si="7"/>
        <v>0.79092955156723455</v>
      </c>
      <c r="H24" s="4">
        <f t="shared" si="7"/>
        <v>0.75470377057942228</v>
      </c>
      <c r="I24" s="4">
        <f t="shared" si="7"/>
        <v>0.7201371856673876</v>
      </c>
      <c r="J24" s="4">
        <f t="shared" si="7"/>
        <v>0.68706554513038165</v>
      </c>
      <c r="K24" s="4">
        <f t="shared" si="7"/>
        <v>0.65559689420837941</v>
      </c>
      <c r="L24" s="4">
        <f t="shared" si="7"/>
        <v>0.62556955554234672</v>
      </c>
      <c r="M24" s="4">
        <f t="shared" si="7"/>
        <v>0.5969175148304835</v>
      </c>
      <c r="N24" s="4">
        <f t="shared" si="7"/>
        <v>0.56950462479561925</v>
      </c>
      <c r="O24" s="4">
        <f t="shared" si="7"/>
        <v>0.54342044350727026</v>
      </c>
      <c r="P24" s="4">
        <f t="shared" si="7"/>
        <v>0.51853095754510525</v>
      </c>
      <c r="Q24" s="4">
        <f t="shared" si="7"/>
        <v>0.49478144803922253</v>
      </c>
      <c r="R24" s="4">
        <f t="shared" si="7"/>
        <v>0.47205906330530845</v>
      </c>
      <c r="S24" s="4">
        <f t="shared" si="7"/>
        <v>0.45043803750506534</v>
      </c>
      <c r="T24" s="4">
        <f t="shared" si="7"/>
        <v>0.429807287695673</v>
      </c>
      <c r="U24" s="4">
        <f t="shared" si="7"/>
        <v>0.41012145772487879</v>
      </c>
      <c r="V24" s="4">
        <f t="shared" si="7"/>
        <v>0.39128700548947559</v>
      </c>
      <c r="W24" s="4">
        <f t="shared" si="7"/>
        <v>0.37336546325331643</v>
      </c>
      <c r="X24" s="4">
        <f t="shared" si="7"/>
        <v>0.35626475501270649</v>
      </c>
      <c r="Y24" s="4">
        <f t="shared" si="7"/>
        <v>0.33994728531746798</v>
      </c>
      <c r="Z24" s="4">
        <f t="shared" si="7"/>
        <v>0.32433551766359908</v>
      </c>
      <c r="AA24" s="4">
        <f t="shared" si="7"/>
        <v>0.30948045578587696</v>
      </c>
      <c r="AB24" s="4">
        <f t="shared" si="7"/>
        <v>0.29530577842163835</v>
      </c>
      <c r="AC24" s="4">
        <f t="shared" si="7"/>
        <v>0.28178032292141064</v>
      </c>
      <c r="AD24" s="4">
        <f t="shared" si="7"/>
        <v>0.26883981972906118</v>
      </c>
      <c r="AE24" s="4">
        <f t="shared" si="7"/>
        <v>0.25652654554299731</v>
      </c>
    </row>
    <row r="25" spans="1:31" x14ac:dyDescent="0.25">
      <c r="A25" s="5" t="s">
        <v>70</v>
      </c>
      <c r="B25" s="6">
        <f t="shared" ref="B25:AE26" si="8">+B10</f>
        <v>44013</v>
      </c>
      <c r="C25" s="6">
        <f t="shared" si="8"/>
        <v>44378</v>
      </c>
      <c r="D25" s="6">
        <f t="shared" si="8"/>
        <v>44743</v>
      </c>
      <c r="E25" s="6">
        <f t="shared" si="8"/>
        <v>45108</v>
      </c>
      <c r="F25" s="6">
        <f t="shared" si="8"/>
        <v>45474</v>
      </c>
      <c r="G25" s="6">
        <f t="shared" si="8"/>
        <v>45839</v>
      </c>
      <c r="H25" s="6">
        <f t="shared" si="8"/>
        <v>46204</v>
      </c>
      <c r="I25" s="6">
        <f t="shared" si="8"/>
        <v>46569</v>
      </c>
      <c r="J25" s="6">
        <f t="shared" si="8"/>
        <v>46935</v>
      </c>
      <c r="K25" s="6">
        <f t="shared" si="8"/>
        <v>47300</v>
      </c>
      <c r="L25" s="6">
        <f t="shared" si="8"/>
        <v>47665</v>
      </c>
      <c r="M25" s="6">
        <f t="shared" si="8"/>
        <v>48030</v>
      </c>
      <c r="N25" s="6">
        <f t="shared" si="8"/>
        <v>48396</v>
      </c>
      <c r="O25" s="6">
        <f t="shared" si="8"/>
        <v>48761</v>
      </c>
      <c r="P25" s="6">
        <f t="shared" si="8"/>
        <v>49126</v>
      </c>
      <c r="Q25" s="6">
        <f t="shared" si="8"/>
        <v>49491</v>
      </c>
      <c r="R25" s="6">
        <f t="shared" si="8"/>
        <v>49857</v>
      </c>
      <c r="S25" s="6">
        <f t="shared" si="8"/>
        <v>50222</v>
      </c>
      <c r="T25" s="6">
        <f t="shared" si="8"/>
        <v>50587</v>
      </c>
      <c r="U25" s="6">
        <f t="shared" si="8"/>
        <v>50952</v>
      </c>
      <c r="V25" s="6">
        <f t="shared" si="8"/>
        <v>51318</v>
      </c>
      <c r="W25" s="6">
        <f t="shared" si="8"/>
        <v>51683</v>
      </c>
      <c r="X25" s="6">
        <f t="shared" si="8"/>
        <v>52048</v>
      </c>
      <c r="Y25" s="6">
        <f t="shared" si="8"/>
        <v>52413</v>
      </c>
      <c r="Z25" s="6">
        <f t="shared" si="8"/>
        <v>52779</v>
      </c>
      <c r="AA25" s="6">
        <f t="shared" si="8"/>
        <v>53144</v>
      </c>
      <c r="AB25" s="6">
        <f t="shared" si="8"/>
        <v>53509</v>
      </c>
      <c r="AC25" s="6">
        <f t="shared" si="8"/>
        <v>53874</v>
      </c>
      <c r="AD25" s="6">
        <f t="shared" si="8"/>
        <v>54240</v>
      </c>
      <c r="AE25" s="6">
        <f t="shared" si="8"/>
        <v>54605</v>
      </c>
    </row>
    <row r="26" spans="1:31" x14ac:dyDescent="0.25">
      <c r="A26" s="179" t="s">
        <v>39</v>
      </c>
      <c r="B26" s="180" t="str">
        <f t="shared" si="8"/>
        <v>2020-21</v>
      </c>
      <c r="C26" s="180" t="str">
        <f t="shared" si="8"/>
        <v>2021-22</v>
      </c>
      <c r="D26" s="180" t="str">
        <f t="shared" si="8"/>
        <v>2022-23</v>
      </c>
      <c r="E26" s="180" t="str">
        <f t="shared" si="8"/>
        <v>2023-24</v>
      </c>
      <c r="F26" s="180" t="str">
        <f t="shared" si="8"/>
        <v>2024-25</v>
      </c>
      <c r="G26" s="180" t="str">
        <f t="shared" si="8"/>
        <v>2025-26</v>
      </c>
      <c r="H26" s="180" t="str">
        <f t="shared" si="8"/>
        <v>2026-27</v>
      </c>
      <c r="I26" s="180" t="str">
        <f t="shared" si="8"/>
        <v>2027-28</v>
      </c>
      <c r="J26" s="180" t="str">
        <f t="shared" si="8"/>
        <v>2028-29</v>
      </c>
      <c r="K26" s="180" t="str">
        <f t="shared" si="8"/>
        <v>2029-30</v>
      </c>
      <c r="L26" s="180" t="str">
        <f t="shared" si="8"/>
        <v>2030-31</v>
      </c>
      <c r="M26" s="180" t="str">
        <f t="shared" si="8"/>
        <v>2031-32</v>
      </c>
      <c r="N26" s="180" t="str">
        <f t="shared" si="8"/>
        <v>2032-33</v>
      </c>
      <c r="O26" s="180" t="str">
        <f t="shared" si="8"/>
        <v>2033-34</v>
      </c>
      <c r="P26" s="180" t="str">
        <f t="shared" si="8"/>
        <v>2034-35</v>
      </c>
      <c r="Q26" s="180" t="str">
        <f t="shared" si="8"/>
        <v>2035-36</v>
      </c>
      <c r="R26" s="180" t="str">
        <f t="shared" si="8"/>
        <v>2036-37</v>
      </c>
      <c r="S26" s="180" t="str">
        <f t="shared" si="8"/>
        <v>2037-38</v>
      </c>
      <c r="T26" s="180" t="str">
        <f t="shared" si="8"/>
        <v>2038-39</v>
      </c>
      <c r="U26" s="180" t="str">
        <f t="shared" si="8"/>
        <v>2039-40</v>
      </c>
      <c r="V26" s="180" t="str">
        <f t="shared" si="8"/>
        <v>2040-41</v>
      </c>
      <c r="W26" s="180" t="str">
        <f t="shared" si="8"/>
        <v>2041-42</v>
      </c>
      <c r="X26" s="180" t="str">
        <f t="shared" si="8"/>
        <v>2042-43</v>
      </c>
      <c r="Y26" s="180" t="str">
        <f t="shared" si="8"/>
        <v>2043-44</v>
      </c>
      <c r="Z26" s="180" t="str">
        <f t="shared" si="8"/>
        <v>2044-45</v>
      </c>
      <c r="AA26" s="180" t="str">
        <f t="shared" si="8"/>
        <v>2045-46</v>
      </c>
      <c r="AB26" s="180" t="str">
        <f t="shared" si="8"/>
        <v>2046-47</v>
      </c>
      <c r="AC26" s="180" t="str">
        <f t="shared" si="8"/>
        <v>2047-48</v>
      </c>
      <c r="AD26" s="180" t="str">
        <f t="shared" si="8"/>
        <v>2048-49</v>
      </c>
      <c r="AE26" s="180" t="str">
        <f t="shared" si="8"/>
        <v>2049-50</v>
      </c>
    </row>
    <row r="27" spans="1:31" x14ac:dyDescent="0.25">
      <c r="A27" s="52" t="str">
        <f>+A12</f>
        <v>Market benefits (PV at 2020)</v>
      </c>
      <c r="B27" s="77">
        <v>0</v>
      </c>
      <c r="C27" s="77">
        <v>-0.28329626781539152</v>
      </c>
      <c r="D27" s="77">
        <v>-4.0600563973588102</v>
      </c>
      <c r="E27" s="77">
        <v>-8.5868106295693476</v>
      </c>
      <c r="F27" s="77">
        <v>-0.36611845040114577</v>
      </c>
      <c r="G27" s="77">
        <v>49.13893491577744</v>
      </c>
      <c r="H27" s="77">
        <v>-25.173608603931196</v>
      </c>
      <c r="I27" s="77">
        <v>25.370064678898991</v>
      </c>
      <c r="J27" s="77">
        <v>55.908496884440247</v>
      </c>
      <c r="K27" s="77">
        <v>66.880683685070082</v>
      </c>
      <c r="L27" s="77">
        <v>51.987353974085863</v>
      </c>
      <c r="M27" s="77">
        <v>53.872081400741259</v>
      </c>
      <c r="N27" s="77">
        <v>133.88711604258299</v>
      </c>
      <c r="O27" s="77">
        <v>119.79361137142337</v>
      </c>
      <c r="P27" s="77">
        <v>124.34056129819105</v>
      </c>
      <c r="Q27" s="77">
        <v>125.82383179933701</v>
      </c>
      <c r="R27" s="77">
        <v>123.05499501788726</v>
      </c>
      <c r="S27" s="77">
        <v>216.15404275075875</v>
      </c>
      <c r="T27" s="77">
        <v>184.72088398286544</v>
      </c>
      <c r="U27" s="77">
        <v>200.71465428441078</v>
      </c>
      <c r="V27" s="77">
        <v>218.17032362324025</v>
      </c>
      <c r="W27" s="77">
        <v>183.36910433617453</v>
      </c>
      <c r="X27" s="77">
        <v>216.1526514095182</v>
      </c>
      <c r="Y27" s="77">
        <v>207.06970021778349</v>
      </c>
      <c r="Z27" s="77">
        <v>175.69573810580221</v>
      </c>
      <c r="AA27" s="77">
        <v>185.4948004486869</v>
      </c>
      <c r="AB27" s="77">
        <v>191.05871051160932</v>
      </c>
      <c r="AC27" s="77">
        <v>187.70342424041638</v>
      </c>
      <c r="AD27" s="77">
        <v>187.75247247582425</v>
      </c>
      <c r="AE27" s="77">
        <v>174.61067513960816</v>
      </c>
    </row>
    <row r="28" spans="1:31" x14ac:dyDescent="0.25">
      <c r="A28" s="48" t="s">
        <v>42</v>
      </c>
      <c r="B28" s="49">
        <f t="shared" ref="B28:AE28" si="9">+B27/B24</f>
        <v>0</v>
      </c>
      <c r="C28" s="49">
        <f t="shared" si="9"/>
        <v>-0.29689448867053037</v>
      </c>
      <c r="D28" s="49">
        <f t="shared" si="9"/>
        <v>-4.4591761814447715</v>
      </c>
      <c r="E28" s="49">
        <f t="shared" si="9"/>
        <v>-9.8836130278600631</v>
      </c>
      <c r="F28" s="49">
        <f t="shared" si="9"/>
        <v>-0.44169504821392402</v>
      </c>
      <c r="G28" s="49">
        <f t="shared" si="9"/>
        <v>62.128080583672926</v>
      </c>
      <c r="H28" s="49">
        <f t="shared" si="9"/>
        <v>-33.355615256306734</v>
      </c>
      <c r="I28" s="49">
        <f t="shared" si="9"/>
        <v>35.229488469460534</v>
      </c>
      <c r="J28" s="49">
        <f t="shared" si="9"/>
        <v>81.372872327385764</v>
      </c>
      <c r="K28" s="49">
        <f t="shared" si="9"/>
        <v>102.01494893569809</v>
      </c>
      <c r="L28" s="49">
        <f t="shared" si="9"/>
        <v>83.104034576961894</v>
      </c>
      <c r="M28" s="49">
        <f t="shared" si="9"/>
        <v>90.250461851567891</v>
      </c>
      <c r="N28" s="49">
        <f t="shared" si="9"/>
        <v>235.09399259159954</v>
      </c>
      <c r="O28" s="49">
        <f t="shared" si="9"/>
        <v>220.44369659387075</v>
      </c>
      <c r="P28" s="49">
        <f t="shared" si="9"/>
        <v>239.79390138413305</v>
      </c>
      <c r="Q28" s="49">
        <f t="shared" si="9"/>
        <v>254.30183831258495</v>
      </c>
      <c r="R28" s="49">
        <f t="shared" si="9"/>
        <v>260.67711560555364</v>
      </c>
      <c r="S28" s="49">
        <f t="shared" si="9"/>
        <v>479.87519870217005</v>
      </c>
      <c r="T28" s="49">
        <f t="shared" si="9"/>
        <v>429.77606306586847</v>
      </c>
      <c r="U28" s="49">
        <f t="shared" si="9"/>
        <v>489.40295735283354</v>
      </c>
      <c r="V28" s="49">
        <f t="shared" si="9"/>
        <v>557.57109375590642</v>
      </c>
      <c r="W28" s="49">
        <f t="shared" si="9"/>
        <v>491.12497641959055</v>
      </c>
      <c r="X28" s="49">
        <f t="shared" si="9"/>
        <v>606.71915581941005</v>
      </c>
      <c r="Y28" s="49">
        <f t="shared" si="9"/>
        <v>609.12297041703528</v>
      </c>
      <c r="Z28" s="49">
        <f t="shared" si="9"/>
        <v>541.70982990532013</v>
      </c>
      <c r="AA28" s="49">
        <f t="shared" si="9"/>
        <v>599.37484574801988</v>
      </c>
      <c r="AB28" s="49">
        <f t="shared" si="9"/>
        <v>646.98602083842468</v>
      </c>
      <c r="AC28" s="49">
        <f t="shared" si="9"/>
        <v>666.13389570416314</v>
      </c>
      <c r="AD28" s="49">
        <f t="shared" si="9"/>
        <v>698.38044328791261</v>
      </c>
      <c r="AE28" s="49">
        <f t="shared" si="9"/>
        <v>680.67292907252386</v>
      </c>
    </row>
    <row r="29" spans="1:31" x14ac:dyDescent="0.25">
      <c r="A29" s="50" t="s">
        <v>40</v>
      </c>
      <c r="B29" s="51">
        <f t="shared" ref="B29:H29" si="10">+B14</f>
        <v>0</v>
      </c>
      <c r="C29" s="51">
        <f t="shared" si="10"/>
        <v>0</v>
      </c>
      <c r="D29" s="51">
        <f t="shared" si="10"/>
        <v>0</v>
      </c>
      <c r="E29" s="51">
        <f t="shared" si="10"/>
        <v>0</v>
      </c>
      <c r="F29" s="51">
        <f t="shared" si="10"/>
        <v>0</v>
      </c>
      <c r="G29" s="51">
        <f t="shared" si="10"/>
        <v>0</v>
      </c>
      <c r="H29" s="51">
        <f t="shared" si="10"/>
        <v>0</v>
      </c>
      <c r="I29" s="51">
        <f>+I14</f>
        <v>15.788363499540408</v>
      </c>
      <c r="J29" s="51">
        <f t="shared" ref="J29:AE29" si="11">+J14</f>
        <v>15.876122651112929</v>
      </c>
      <c r="K29" s="51">
        <f t="shared" si="11"/>
        <v>15.961779131322926</v>
      </c>
      <c r="L29" s="51">
        <f t="shared" si="11"/>
        <v>16.048292176335021</v>
      </c>
      <c r="M29" s="51">
        <f t="shared" si="11"/>
        <v>16.135670351797238</v>
      </c>
      <c r="N29" s="51">
        <f t="shared" si="11"/>
        <v>16.223922309014075</v>
      </c>
      <c r="O29" s="51">
        <f t="shared" si="11"/>
        <v>16.313056785803084</v>
      </c>
      <c r="P29" s="51">
        <f t="shared" si="11"/>
        <v>16.40308260735998</v>
      </c>
      <c r="Q29" s="51">
        <f t="shared" si="11"/>
        <v>16.49400868713245</v>
      </c>
      <c r="R29" s="51">
        <f t="shared" si="11"/>
        <v>16.585844027702642</v>
      </c>
      <c r="S29" s="51">
        <f t="shared" si="11"/>
        <v>16.678597721678535</v>
      </c>
      <c r="T29" s="51">
        <f t="shared" si="11"/>
        <v>16.772278952594188</v>
      </c>
      <c r="U29" s="51">
        <f t="shared" si="11"/>
        <v>16.866896995818998</v>
      </c>
      <c r="V29" s="51">
        <f t="shared" si="11"/>
        <v>16.962461219476054</v>
      </c>
      <c r="W29" s="51">
        <f t="shared" si="11"/>
        <v>17.058981085369684</v>
      </c>
      <c r="X29" s="51">
        <f t="shared" si="11"/>
        <v>17.156466149922252</v>
      </c>
      <c r="Y29" s="51">
        <f t="shared" si="11"/>
        <v>17.25492606512034</v>
      </c>
      <c r="Z29" s="51">
        <f t="shared" si="11"/>
        <v>17.354370579470412</v>
      </c>
      <c r="AA29" s="51">
        <f t="shared" si="11"/>
        <v>17.454809538963978</v>
      </c>
      <c r="AB29" s="51">
        <f t="shared" si="11"/>
        <v>17.556252888052487</v>
      </c>
      <c r="AC29" s="51">
        <f t="shared" si="11"/>
        <v>17.658710670631876</v>
      </c>
      <c r="AD29" s="51">
        <f t="shared" si="11"/>
        <v>17.762193031037071</v>
      </c>
      <c r="AE29" s="51">
        <f t="shared" si="11"/>
        <v>17.866710215046304</v>
      </c>
    </row>
    <row r="30" spans="1:31" x14ac:dyDescent="0.25">
      <c r="A30" s="46" t="s">
        <v>41</v>
      </c>
      <c r="B30" s="47">
        <f>+B29+B28</f>
        <v>0</v>
      </c>
      <c r="C30" s="47">
        <f t="shared" ref="C30:AE30" si="12">+C29+C28</f>
        <v>-0.29689448867053037</v>
      </c>
      <c r="D30" s="47">
        <f t="shared" si="12"/>
        <v>-4.4591761814447715</v>
      </c>
      <c r="E30" s="47">
        <f t="shared" si="12"/>
        <v>-9.8836130278600631</v>
      </c>
      <c r="F30" s="47">
        <f t="shared" si="12"/>
        <v>-0.44169504821392402</v>
      </c>
      <c r="G30" s="47">
        <f t="shared" si="12"/>
        <v>62.128080583672926</v>
      </c>
      <c r="H30" s="47">
        <f t="shared" si="12"/>
        <v>-33.355615256306734</v>
      </c>
      <c r="I30" s="47">
        <f t="shared" si="12"/>
        <v>51.017851969000944</v>
      </c>
      <c r="J30" s="47">
        <f t="shared" si="12"/>
        <v>97.2489949784987</v>
      </c>
      <c r="K30" s="47">
        <f t="shared" si="12"/>
        <v>117.97672806702101</v>
      </c>
      <c r="L30" s="47">
        <f t="shared" si="12"/>
        <v>99.152326753296919</v>
      </c>
      <c r="M30" s="47">
        <f t="shared" si="12"/>
        <v>106.38613220336512</v>
      </c>
      <c r="N30" s="47">
        <f t="shared" si="12"/>
        <v>251.31791490061363</v>
      </c>
      <c r="O30" s="47">
        <f t="shared" si="12"/>
        <v>236.75675337967385</v>
      </c>
      <c r="P30" s="47">
        <f t="shared" si="12"/>
        <v>256.19698399149303</v>
      </c>
      <c r="Q30" s="47">
        <f t="shared" si="12"/>
        <v>270.79584699971741</v>
      </c>
      <c r="R30" s="47">
        <f t="shared" si="12"/>
        <v>277.26295963325629</v>
      </c>
      <c r="S30" s="47">
        <f t="shared" si="12"/>
        <v>496.55379642384861</v>
      </c>
      <c r="T30" s="47">
        <f t="shared" si="12"/>
        <v>446.54834201846268</v>
      </c>
      <c r="U30" s="47">
        <f t="shared" si="12"/>
        <v>506.26985434865253</v>
      </c>
      <c r="V30" s="47">
        <f t="shared" si="12"/>
        <v>574.53355497538246</v>
      </c>
      <c r="W30" s="47">
        <f t="shared" si="12"/>
        <v>508.18395750496023</v>
      </c>
      <c r="X30" s="47">
        <f t="shared" si="12"/>
        <v>623.87562196933231</v>
      </c>
      <c r="Y30" s="47">
        <f t="shared" si="12"/>
        <v>626.37789648215562</v>
      </c>
      <c r="Z30" s="47">
        <f t="shared" si="12"/>
        <v>559.06420048479049</v>
      </c>
      <c r="AA30" s="47">
        <f t="shared" si="12"/>
        <v>616.82965528698389</v>
      </c>
      <c r="AB30" s="47">
        <f t="shared" si="12"/>
        <v>664.54227372647722</v>
      </c>
      <c r="AC30" s="47">
        <f t="shared" si="12"/>
        <v>683.79260637479501</v>
      </c>
      <c r="AD30" s="47">
        <f t="shared" si="12"/>
        <v>716.14263631894971</v>
      </c>
      <c r="AE30" s="47">
        <f t="shared" si="12"/>
        <v>698.53963928757014</v>
      </c>
    </row>
    <row r="31" spans="1:31" x14ac:dyDescent="0.25">
      <c r="A31" s="53" t="s">
        <v>67</v>
      </c>
      <c r="B31" s="181">
        <v>0</v>
      </c>
      <c r="C31" s="181">
        <v>0</v>
      </c>
      <c r="D31" s="181">
        <v>0</v>
      </c>
      <c r="E31" s="181">
        <v>0</v>
      </c>
      <c r="F31" s="181">
        <v>0</v>
      </c>
      <c r="G31" s="181">
        <v>0</v>
      </c>
      <c r="H31" s="181">
        <v>0</v>
      </c>
      <c r="I31" s="181">
        <f>+'Project costs'!C7</f>
        <v>138.00248418002869</v>
      </c>
      <c r="J31" s="181">
        <f>+I31</f>
        <v>138.00248418002869</v>
      </c>
      <c r="K31" s="181">
        <f>+'Project costs'!D7</f>
        <v>221.18291467967254</v>
      </c>
      <c r="L31" s="181">
        <f>+K31</f>
        <v>221.18291467967254</v>
      </c>
      <c r="M31" s="181">
        <f>+L31</f>
        <v>221.18291467967254</v>
      </c>
      <c r="N31" s="181">
        <f>+M31</f>
        <v>221.18291467967254</v>
      </c>
      <c r="O31" s="181">
        <f t="shared" ref="O31:AE31" si="13">+N31</f>
        <v>221.18291467967254</v>
      </c>
      <c r="P31" s="181">
        <f t="shared" si="13"/>
        <v>221.18291467967254</v>
      </c>
      <c r="Q31" s="181">
        <f t="shared" si="13"/>
        <v>221.18291467967254</v>
      </c>
      <c r="R31" s="181">
        <f t="shared" si="13"/>
        <v>221.18291467967254</v>
      </c>
      <c r="S31" s="181">
        <f t="shared" si="13"/>
        <v>221.18291467967254</v>
      </c>
      <c r="T31" s="181">
        <f t="shared" si="13"/>
        <v>221.18291467967254</v>
      </c>
      <c r="U31" s="181">
        <f t="shared" si="13"/>
        <v>221.18291467967254</v>
      </c>
      <c r="V31" s="181">
        <f t="shared" si="13"/>
        <v>221.18291467967254</v>
      </c>
      <c r="W31" s="181">
        <f t="shared" si="13"/>
        <v>221.18291467967254</v>
      </c>
      <c r="X31" s="181">
        <f t="shared" si="13"/>
        <v>221.18291467967254</v>
      </c>
      <c r="Y31" s="181">
        <f t="shared" si="13"/>
        <v>221.18291467967254</v>
      </c>
      <c r="Z31" s="181">
        <f t="shared" si="13"/>
        <v>221.18291467967254</v>
      </c>
      <c r="AA31" s="181">
        <f t="shared" si="13"/>
        <v>221.18291467967254</v>
      </c>
      <c r="AB31" s="181">
        <f t="shared" si="13"/>
        <v>221.18291467967254</v>
      </c>
      <c r="AC31" s="181">
        <f t="shared" si="13"/>
        <v>221.18291467967254</v>
      </c>
      <c r="AD31" s="181">
        <f t="shared" si="13"/>
        <v>221.18291467967254</v>
      </c>
      <c r="AE31" s="181">
        <f t="shared" si="13"/>
        <v>221.18291467967254</v>
      </c>
    </row>
    <row r="32" spans="1:31" x14ac:dyDescent="0.25">
      <c r="A32" t="s">
        <v>68</v>
      </c>
      <c r="B32" s="43">
        <f>XNPV(NotSlowWACC,B30:AE30,$B$10:$AE$10)</f>
        <v>3592.4414127839018</v>
      </c>
      <c r="C32" s="134"/>
      <c r="D32" s="135"/>
      <c r="E32" s="136"/>
      <c r="F32" s="137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</row>
    <row r="33" spans="1:31" x14ac:dyDescent="0.25">
      <c r="A33" t="s">
        <v>69</v>
      </c>
      <c r="B33" s="43">
        <f>XNPV(NotSlowWACC,B31:AE31,$B$10:$AE$10)</f>
        <v>2176.854629554563</v>
      </c>
      <c r="C33" s="134"/>
      <c r="D33" s="135"/>
      <c r="E33" s="136"/>
      <c r="F33" s="137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</row>
    <row r="34" spans="1:31" ht="15.75" thickBot="1" x14ac:dyDescent="0.3">
      <c r="A34" s="1" t="s">
        <v>119</v>
      </c>
      <c r="B34" s="68">
        <f>+B32-B33</f>
        <v>1415.5867832293388</v>
      </c>
      <c r="C34" s="134"/>
      <c r="D34" s="135"/>
      <c r="E34" s="136"/>
      <c r="F34" s="137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</row>
    <row r="35" spans="1:31" ht="16.5" thickTop="1" thickBot="1" x14ac:dyDescent="0.3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</row>
    <row r="36" spans="1:31" ht="15.75" thickTop="1" x14ac:dyDescent="0.25">
      <c r="A36" s="71" t="str">
        <f>+A2</f>
        <v>Option 4:  750 MW in 2027 and 750 MW in 2029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</row>
    <row r="37" spans="1:31" x14ac:dyDescent="0.25">
      <c r="A37" s="73" t="s">
        <v>72</v>
      </c>
      <c r="B37" s="74" t="str">
        <f>+Overview!D8</f>
        <v>High DER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</row>
    <row r="38" spans="1:31" x14ac:dyDescent="0.25">
      <c r="A38" s="2" t="s">
        <v>34</v>
      </c>
      <c r="B38" s="1">
        <v>0</v>
      </c>
      <c r="C38" s="1">
        <f>+B38+1</f>
        <v>1</v>
      </c>
      <c r="D38" s="1">
        <f t="shared" ref="D38:AE38" si="14">+C38+1</f>
        <v>2</v>
      </c>
      <c r="E38" s="1">
        <f t="shared" si="14"/>
        <v>3</v>
      </c>
      <c r="F38" s="1">
        <f t="shared" si="14"/>
        <v>4</v>
      </c>
      <c r="G38" s="1">
        <f t="shared" si="14"/>
        <v>5</v>
      </c>
      <c r="H38" s="8">
        <f t="shared" si="14"/>
        <v>6</v>
      </c>
      <c r="I38" s="1">
        <f t="shared" si="14"/>
        <v>7</v>
      </c>
      <c r="J38" s="1">
        <f t="shared" si="14"/>
        <v>8</v>
      </c>
      <c r="K38" s="1">
        <f t="shared" si="14"/>
        <v>9</v>
      </c>
      <c r="L38" s="1">
        <f t="shared" si="14"/>
        <v>10</v>
      </c>
      <c r="M38" s="1">
        <f t="shared" si="14"/>
        <v>11</v>
      </c>
      <c r="N38" s="1">
        <f t="shared" si="14"/>
        <v>12</v>
      </c>
      <c r="O38" s="1">
        <f t="shared" si="14"/>
        <v>13</v>
      </c>
      <c r="P38" s="1">
        <f t="shared" si="14"/>
        <v>14</v>
      </c>
      <c r="Q38" s="1">
        <f t="shared" si="14"/>
        <v>15</v>
      </c>
      <c r="R38" s="1">
        <f t="shared" si="14"/>
        <v>16</v>
      </c>
      <c r="S38" s="1">
        <f t="shared" si="14"/>
        <v>17</v>
      </c>
      <c r="T38" s="1">
        <f t="shared" si="14"/>
        <v>18</v>
      </c>
      <c r="U38" s="1">
        <f t="shared" si="14"/>
        <v>19</v>
      </c>
      <c r="V38" s="1">
        <f t="shared" si="14"/>
        <v>20</v>
      </c>
      <c r="W38" s="1">
        <f t="shared" si="14"/>
        <v>21</v>
      </c>
      <c r="X38" s="1">
        <f t="shared" si="14"/>
        <v>22</v>
      </c>
      <c r="Y38" s="1">
        <f t="shared" si="14"/>
        <v>23</v>
      </c>
      <c r="Z38" s="1">
        <f t="shared" si="14"/>
        <v>24</v>
      </c>
      <c r="AA38" s="1">
        <f t="shared" si="14"/>
        <v>25</v>
      </c>
      <c r="AB38" s="1">
        <f t="shared" si="14"/>
        <v>26</v>
      </c>
      <c r="AC38" s="1">
        <f t="shared" si="14"/>
        <v>27</v>
      </c>
      <c r="AD38" s="1">
        <f t="shared" si="14"/>
        <v>28</v>
      </c>
      <c r="AE38" s="1">
        <f t="shared" si="14"/>
        <v>29</v>
      </c>
    </row>
    <row r="39" spans="1:31" x14ac:dyDescent="0.25">
      <c r="A39" t="s">
        <v>35</v>
      </c>
      <c r="B39" s="4">
        <v>1</v>
      </c>
      <c r="C39" s="4">
        <f t="shared" ref="C39:AE39" si="15">1/((1+NotSlowWACC)^((C40-$B$10)/365))</f>
        <v>0.95419847328244267</v>
      </c>
      <c r="D39" s="4">
        <f t="shared" si="15"/>
        <v>0.91049472641454443</v>
      </c>
      <c r="E39" s="4">
        <f t="shared" si="15"/>
        <v>0.86879267787647374</v>
      </c>
      <c r="F39" s="4">
        <f t="shared" si="15"/>
        <v>0.82889417004246191</v>
      </c>
      <c r="G39" s="4">
        <f t="shared" si="15"/>
        <v>0.79092955156723455</v>
      </c>
      <c r="H39" s="4">
        <f t="shared" si="15"/>
        <v>0.75470377057942228</v>
      </c>
      <c r="I39" s="4">
        <f t="shared" si="15"/>
        <v>0.7201371856673876</v>
      </c>
      <c r="J39" s="4">
        <f t="shared" si="15"/>
        <v>0.68706554513038165</v>
      </c>
      <c r="K39" s="4">
        <f t="shared" si="15"/>
        <v>0.65559689420837941</v>
      </c>
      <c r="L39" s="4">
        <f t="shared" si="15"/>
        <v>0.62556955554234672</v>
      </c>
      <c r="M39" s="4">
        <f t="shared" si="15"/>
        <v>0.5969175148304835</v>
      </c>
      <c r="N39" s="4">
        <f t="shared" si="15"/>
        <v>0.56950462479561925</v>
      </c>
      <c r="O39" s="4">
        <f t="shared" si="15"/>
        <v>0.54342044350727026</v>
      </c>
      <c r="P39" s="4">
        <f t="shared" si="15"/>
        <v>0.51853095754510525</v>
      </c>
      <c r="Q39" s="4">
        <f t="shared" si="15"/>
        <v>0.49478144803922253</v>
      </c>
      <c r="R39" s="4">
        <f t="shared" si="15"/>
        <v>0.47205906330530845</v>
      </c>
      <c r="S39" s="4">
        <f t="shared" si="15"/>
        <v>0.45043803750506534</v>
      </c>
      <c r="T39" s="4">
        <f t="shared" si="15"/>
        <v>0.429807287695673</v>
      </c>
      <c r="U39" s="4">
        <f t="shared" si="15"/>
        <v>0.41012145772487879</v>
      </c>
      <c r="V39" s="4">
        <f t="shared" si="15"/>
        <v>0.39128700548947559</v>
      </c>
      <c r="W39" s="4">
        <f t="shared" si="15"/>
        <v>0.37336546325331643</v>
      </c>
      <c r="X39" s="4">
        <f t="shared" si="15"/>
        <v>0.35626475501270649</v>
      </c>
      <c r="Y39" s="4">
        <f t="shared" si="15"/>
        <v>0.33994728531746798</v>
      </c>
      <c r="Z39" s="4">
        <f t="shared" si="15"/>
        <v>0.32433551766359908</v>
      </c>
      <c r="AA39" s="4">
        <f t="shared" si="15"/>
        <v>0.30948045578587696</v>
      </c>
      <c r="AB39" s="4">
        <f t="shared" si="15"/>
        <v>0.29530577842163835</v>
      </c>
      <c r="AC39" s="4">
        <f t="shared" si="15"/>
        <v>0.28178032292141064</v>
      </c>
      <c r="AD39" s="4">
        <f t="shared" si="15"/>
        <v>0.26883981972906118</v>
      </c>
      <c r="AE39" s="4">
        <f t="shared" si="15"/>
        <v>0.25652654554299731</v>
      </c>
    </row>
    <row r="40" spans="1:31" x14ac:dyDescent="0.25">
      <c r="A40" s="5" t="s">
        <v>70</v>
      </c>
      <c r="B40" s="6">
        <f>+B25</f>
        <v>44013</v>
      </c>
      <c r="C40" s="6">
        <f>EDATE(B40,12)</f>
        <v>44378</v>
      </c>
      <c r="D40" s="6">
        <f t="shared" ref="D40:AE40" si="16">EDATE(C40,12)</f>
        <v>44743</v>
      </c>
      <c r="E40" s="6">
        <f t="shared" si="16"/>
        <v>45108</v>
      </c>
      <c r="F40" s="6">
        <f t="shared" si="16"/>
        <v>45474</v>
      </c>
      <c r="G40" s="6">
        <f t="shared" si="16"/>
        <v>45839</v>
      </c>
      <c r="H40" s="6">
        <f t="shared" si="16"/>
        <v>46204</v>
      </c>
      <c r="I40" s="6">
        <f t="shared" si="16"/>
        <v>46569</v>
      </c>
      <c r="J40" s="6">
        <f t="shared" si="16"/>
        <v>46935</v>
      </c>
      <c r="K40" s="6">
        <f t="shared" si="16"/>
        <v>47300</v>
      </c>
      <c r="L40" s="6">
        <f t="shared" si="16"/>
        <v>47665</v>
      </c>
      <c r="M40" s="6">
        <f t="shared" si="16"/>
        <v>48030</v>
      </c>
      <c r="N40" s="6">
        <f t="shared" si="16"/>
        <v>48396</v>
      </c>
      <c r="O40" s="6">
        <f t="shared" si="16"/>
        <v>48761</v>
      </c>
      <c r="P40" s="6">
        <f t="shared" si="16"/>
        <v>49126</v>
      </c>
      <c r="Q40" s="6">
        <f t="shared" si="16"/>
        <v>49491</v>
      </c>
      <c r="R40" s="6">
        <f t="shared" si="16"/>
        <v>49857</v>
      </c>
      <c r="S40" s="6">
        <f t="shared" si="16"/>
        <v>50222</v>
      </c>
      <c r="T40" s="6">
        <f t="shared" si="16"/>
        <v>50587</v>
      </c>
      <c r="U40" s="6">
        <f t="shared" si="16"/>
        <v>50952</v>
      </c>
      <c r="V40" s="6">
        <f t="shared" si="16"/>
        <v>51318</v>
      </c>
      <c r="W40" s="6">
        <f t="shared" si="16"/>
        <v>51683</v>
      </c>
      <c r="X40" s="6">
        <f t="shared" si="16"/>
        <v>52048</v>
      </c>
      <c r="Y40" s="6">
        <f t="shared" si="16"/>
        <v>52413</v>
      </c>
      <c r="Z40" s="6">
        <f t="shared" si="16"/>
        <v>52779</v>
      </c>
      <c r="AA40" s="6">
        <f t="shared" si="16"/>
        <v>53144</v>
      </c>
      <c r="AB40" s="6">
        <f t="shared" si="16"/>
        <v>53509</v>
      </c>
      <c r="AC40" s="6">
        <f t="shared" si="16"/>
        <v>53874</v>
      </c>
      <c r="AD40" s="6">
        <f t="shared" si="16"/>
        <v>54240</v>
      </c>
      <c r="AE40" s="6">
        <f t="shared" si="16"/>
        <v>54605</v>
      </c>
    </row>
    <row r="41" spans="1:31" x14ac:dyDescent="0.25">
      <c r="A41" s="179" t="s">
        <v>39</v>
      </c>
      <c r="B41" s="180" t="str">
        <f>+B26</f>
        <v>2020-21</v>
      </c>
      <c r="C41" s="180" t="str">
        <f t="shared" ref="C41:AE41" si="17">+C26</f>
        <v>2021-22</v>
      </c>
      <c r="D41" s="180" t="str">
        <f t="shared" si="17"/>
        <v>2022-23</v>
      </c>
      <c r="E41" s="180" t="str">
        <f t="shared" si="17"/>
        <v>2023-24</v>
      </c>
      <c r="F41" s="180" t="str">
        <f t="shared" si="17"/>
        <v>2024-25</v>
      </c>
      <c r="G41" s="180" t="str">
        <f t="shared" si="17"/>
        <v>2025-26</v>
      </c>
      <c r="H41" s="180" t="str">
        <f t="shared" si="17"/>
        <v>2026-27</v>
      </c>
      <c r="I41" s="180" t="str">
        <f t="shared" si="17"/>
        <v>2027-28</v>
      </c>
      <c r="J41" s="180" t="str">
        <f t="shared" si="17"/>
        <v>2028-29</v>
      </c>
      <c r="K41" s="180" t="str">
        <f t="shared" si="17"/>
        <v>2029-30</v>
      </c>
      <c r="L41" s="180" t="str">
        <f t="shared" si="17"/>
        <v>2030-31</v>
      </c>
      <c r="M41" s="180" t="str">
        <f t="shared" si="17"/>
        <v>2031-32</v>
      </c>
      <c r="N41" s="180" t="str">
        <f t="shared" si="17"/>
        <v>2032-33</v>
      </c>
      <c r="O41" s="180" t="str">
        <f t="shared" si="17"/>
        <v>2033-34</v>
      </c>
      <c r="P41" s="180" t="str">
        <f t="shared" si="17"/>
        <v>2034-35</v>
      </c>
      <c r="Q41" s="180" t="str">
        <f t="shared" si="17"/>
        <v>2035-36</v>
      </c>
      <c r="R41" s="180" t="str">
        <f t="shared" si="17"/>
        <v>2036-37</v>
      </c>
      <c r="S41" s="180" t="str">
        <f t="shared" si="17"/>
        <v>2037-38</v>
      </c>
      <c r="T41" s="180" t="str">
        <f t="shared" si="17"/>
        <v>2038-39</v>
      </c>
      <c r="U41" s="180" t="str">
        <f t="shared" si="17"/>
        <v>2039-40</v>
      </c>
      <c r="V41" s="180" t="str">
        <f t="shared" si="17"/>
        <v>2040-41</v>
      </c>
      <c r="W41" s="180" t="str">
        <f t="shared" si="17"/>
        <v>2041-42</v>
      </c>
      <c r="X41" s="180" t="str">
        <f t="shared" si="17"/>
        <v>2042-43</v>
      </c>
      <c r="Y41" s="180" t="str">
        <f t="shared" si="17"/>
        <v>2043-44</v>
      </c>
      <c r="Z41" s="180" t="str">
        <f t="shared" si="17"/>
        <v>2044-45</v>
      </c>
      <c r="AA41" s="180" t="str">
        <f t="shared" si="17"/>
        <v>2045-46</v>
      </c>
      <c r="AB41" s="180" t="str">
        <f t="shared" si="17"/>
        <v>2046-47</v>
      </c>
      <c r="AC41" s="180" t="str">
        <f t="shared" si="17"/>
        <v>2047-48</v>
      </c>
      <c r="AD41" s="180" t="str">
        <f t="shared" si="17"/>
        <v>2048-49</v>
      </c>
      <c r="AE41" s="180" t="str">
        <f t="shared" si="17"/>
        <v>2049-50</v>
      </c>
    </row>
    <row r="42" spans="1:31" x14ac:dyDescent="0.25">
      <c r="A42" s="52" t="str">
        <f>+A27</f>
        <v>Market benefits (PV at 2020)</v>
      </c>
      <c r="B42" s="77">
        <v>0</v>
      </c>
      <c r="C42" s="77">
        <v>-0.42279093684951791</v>
      </c>
      <c r="D42" s="77">
        <v>-2.4535585069404249</v>
      </c>
      <c r="E42" s="77">
        <v>-4.7171740247270773</v>
      </c>
      <c r="F42" s="77">
        <v>4.9544568841332728</v>
      </c>
      <c r="G42" s="77">
        <v>80.710905598058076</v>
      </c>
      <c r="H42" s="77">
        <v>-31.982927162237612</v>
      </c>
      <c r="I42" s="77">
        <v>28.26941457601643</v>
      </c>
      <c r="J42" s="77">
        <v>62.74072255878373</v>
      </c>
      <c r="K42" s="77">
        <v>66.901839336259059</v>
      </c>
      <c r="L42" s="77">
        <v>52.222734220281247</v>
      </c>
      <c r="M42" s="77">
        <v>59.388560965521073</v>
      </c>
      <c r="N42" s="77">
        <v>120.07570709467325</v>
      </c>
      <c r="O42" s="77">
        <v>121.85000689203989</v>
      </c>
      <c r="P42" s="77">
        <v>124.47094459242528</v>
      </c>
      <c r="Q42" s="77">
        <v>124.05930105212819</v>
      </c>
      <c r="R42" s="77">
        <v>132.9412220971264</v>
      </c>
      <c r="S42" s="77">
        <v>199.62090179152432</v>
      </c>
      <c r="T42" s="77">
        <v>191.18437343380637</v>
      </c>
      <c r="U42" s="77">
        <v>196.31290398456073</v>
      </c>
      <c r="V42" s="77">
        <v>195.81614020424254</v>
      </c>
      <c r="W42" s="77">
        <v>198.47694076748837</v>
      </c>
      <c r="X42" s="77">
        <v>205.73770254054818</v>
      </c>
      <c r="Y42" s="77">
        <v>193.01678025406932</v>
      </c>
      <c r="Z42" s="77">
        <v>177.4484610384404</v>
      </c>
      <c r="AA42" s="77">
        <v>186.86473633724697</v>
      </c>
      <c r="AB42" s="77">
        <v>191.47098027936798</v>
      </c>
      <c r="AC42" s="77">
        <v>196.51271401576375</v>
      </c>
      <c r="AD42" s="77">
        <v>183.02116822111375</v>
      </c>
      <c r="AE42" s="77">
        <v>170.52865712247763</v>
      </c>
    </row>
    <row r="43" spans="1:31" x14ac:dyDescent="0.25">
      <c r="A43" s="48" t="s">
        <v>42</v>
      </c>
      <c r="B43" s="49">
        <f t="shared" ref="B43:AE43" si="18">+B42/B39</f>
        <v>0</v>
      </c>
      <c r="C43" s="49">
        <f t="shared" si="18"/>
        <v>-0.4430849018182948</v>
      </c>
      <c r="D43" s="49">
        <f t="shared" si="18"/>
        <v>-2.6947531224066967</v>
      </c>
      <c r="E43" s="49">
        <f t="shared" si="18"/>
        <v>-5.4295738728564329</v>
      </c>
      <c r="F43" s="49">
        <f t="shared" si="18"/>
        <v>5.9771887210637153</v>
      </c>
      <c r="G43" s="49">
        <f t="shared" si="18"/>
        <v>102.0456315459811</v>
      </c>
      <c r="H43" s="49">
        <f t="shared" si="18"/>
        <v>-42.378120275830589</v>
      </c>
      <c r="I43" s="49">
        <f t="shared" si="18"/>
        <v>39.255596209516291</v>
      </c>
      <c r="J43" s="49">
        <f t="shared" si="18"/>
        <v>91.316939123875983</v>
      </c>
      <c r="K43" s="49">
        <f t="shared" si="18"/>
        <v>102.04721823315185</v>
      </c>
      <c r="L43" s="49">
        <f t="shared" si="18"/>
        <v>83.480300084306336</v>
      </c>
      <c r="M43" s="49">
        <f t="shared" si="18"/>
        <v>99.492073008423318</v>
      </c>
      <c r="N43" s="49">
        <f t="shared" si="18"/>
        <v>210.84237399786767</v>
      </c>
      <c r="O43" s="49">
        <f t="shared" si="18"/>
        <v>224.22786692677985</v>
      </c>
      <c r="P43" s="49">
        <f t="shared" si="18"/>
        <v>240.0453488480444</v>
      </c>
      <c r="Q43" s="49">
        <f t="shared" si="18"/>
        <v>250.73555515018765</v>
      </c>
      <c r="R43" s="49">
        <f t="shared" si="18"/>
        <v>281.6198913040368</v>
      </c>
      <c r="S43" s="49">
        <f t="shared" si="18"/>
        <v>443.17061431402652</v>
      </c>
      <c r="T43" s="49">
        <f t="shared" si="18"/>
        <v>444.81417348412981</v>
      </c>
      <c r="U43" s="49">
        <f t="shared" si="18"/>
        <v>478.67016047780913</v>
      </c>
      <c r="V43" s="49">
        <f t="shared" si="18"/>
        <v>500.44120417259649</v>
      </c>
      <c r="W43" s="49">
        <f t="shared" si="18"/>
        <v>531.58891301316794</v>
      </c>
      <c r="X43" s="49">
        <f t="shared" si="18"/>
        <v>577.48542241628809</v>
      </c>
      <c r="Y43" s="49">
        <f t="shared" si="18"/>
        <v>567.78444361988636</v>
      </c>
      <c r="Z43" s="49">
        <f t="shared" si="18"/>
        <v>547.1138724390031</v>
      </c>
      <c r="AA43" s="49">
        <f t="shared" si="18"/>
        <v>603.80141247605877</v>
      </c>
      <c r="AB43" s="49">
        <f t="shared" si="18"/>
        <v>648.38209838882733</v>
      </c>
      <c r="AC43" s="49">
        <f t="shared" si="18"/>
        <v>697.39686568026161</v>
      </c>
      <c r="AD43" s="49">
        <f t="shared" si="18"/>
        <v>680.78147205114135</v>
      </c>
      <c r="AE43" s="49">
        <f t="shared" si="18"/>
        <v>664.76027563352</v>
      </c>
    </row>
    <row r="44" spans="1:31" x14ac:dyDescent="0.25">
      <c r="A44" s="50" t="s">
        <v>40</v>
      </c>
      <c r="B44" s="51">
        <f t="shared" ref="B44:H44" si="19">+B29</f>
        <v>0</v>
      </c>
      <c r="C44" s="51">
        <f t="shared" si="19"/>
        <v>0</v>
      </c>
      <c r="D44" s="51">
        <f t="shared" si="19"/>
        <v>0</v>
      </c>
      <c r="E44" s="51">
        <f t="shared" si="19"/>
        <v>0</v>
      </c>
      <c r="F44" s="51">
        <f t="shared" si="19"/>
        <v>0</v>
      </c>
      <c r="G44" s="51">
        <f t="shared" si="19"/>
        <v>0</v>
      </c>
      <c r="H44" s="51">
        <f t="shared" si="19"/>
        <v>0</v>
      </c>
      <c r="I44" s="51">
        <f>+I29</f>
        <v>15.788363499540408</v>
      </c>
      <c r="J44" s="51">
        <f t="shared" ref="J44:AE44" si="20">+J29</f>
        <v>15.876122651112929</v>
      </c>
      <c r="K44" s="51">
        <f t="shared" si="20"/>
        <v>15.961779131322926</v>
      </c>
      <c r="L44" s="51">
        <f t="shared" si="20"/>
        <v>16.048292176335021</v>
      </c>
      <c r="M44" s="51">
        <f t="shared" si="20"/>
        <v>16.135670351797238</v>
      </c>
      <c r="N44" s="51">
        <f t="shared" si="20"/>
        <v>16.223922309014075</v>
      </c>
      <c r="O44" s="51">
        <f t="shared" si="20"/>
        <v>16.313056785803084</v>
      </c>
      <c r="P44" s="51">
        <f t="shared" si="20"/>
        <v>16.40308260735998</v>
      </c>
      <c r="Q44" s="51">
        <f t="shared" si="20"/>
        <v>16.49400868713245</v>
      </c>
      <c r="R44" s="51">
        <f t="shared" si="20"/>
        <v>16.585844027702642</v>
      </c>
      <c r="S44" s="51">
        <f t="shared" si="20"/>
        <v>16.678597721678535</v>
      </c>
      <c r="T44" s="51">
        <f t="shared" si="20"/>
        <v>16.772278952594188</v>
      </c>
      <c r="U44" s="51">
        <f t="shared" si="20"/>
        <v>16.866896995818998</v>
      </c>
      <c r="V44" s="51">
        <f t="shared" si="20"/>
        <v>16.962461219476054</v>
      </c>
      <c r="W44" s="51">
        <f t="shared" si="20"/>
        <v>17.058981085369684</v>
      </c>
      <c r="X44" s="51">
        <f t="shared" si="20"/>
        <v>17.156466149922252</v>
      </c>
      <c r="Y44" s="51">
        <f t="shared" si="20"/>
        <v>17.25492606512034</v>
      </c>
      <c r="Z44" s="51">
        <f t="shared" si="20"/>
        <v>17.354370579470412</v>
      </c>
      <c r="AA44" s="51">
        <f t="shared" si="20"/>
        <v>17.454809538963978</v>
      </c>
      <c r="AB44" s="51">
        <f t="shared" si="20"/>
        <v>17.556252888052487</v>
      </c>
      <c r="AC44" s="51">
        <f t="shared" si="20"/>
        <v>17.658710670631876</v>
      </c>
      <c r="AD44" s="51">
        <f t="shared" si="20"/>
        <v>17.762193031037071</v>
      </c>
      <c r="AE44" s="51">
        <f t="shared" si="20"/>
        <v>17.866710215046304</v>
      </c>
    </row>
    <row r="45" spans="1:31" x14ac:dyDescent="0.25">
      <c r="A45" s="46" t="s">
        <v>41</v>
      </c>
      <c r="B45" s="47">
        <f>+B44+B43</f>
        <v>0</v>
      </c>
      <c r="C45" s="47">
        <f t="shared" ref="C45:AE45" si="21">+C44+C43</f>
        <v>-0.4430849018182948</v>
      </c>
      <c r="D45" s="47">
        <f t="shared" si="21"/>
        <v>-2.6947531224066967</v>
      </c>
      <c r="E45" s="47">
        <f t="shared" si="21"/>
        <v>-5.4295738728564329</v>
      </c>
      <c r="F45" s="47">
        <f t="shared" si="21"/>
        <v>5.9771887210637153</v>
      </c>
      <c r="G45" s="47">
        <f t="shared" si="21"/>
        <v>102.0456315459811</v>
      </c>
      <c r="H45" s="47">
        <f t="shared" si="21"/>
        <v>-42.378120275830589</v>
      </c>
      <c r="I45" s="47">
        <f t="shared" si="21"/>
        <v>55.043959709056701</v>
      </c>
      <c r="J45" s="47">
        <f t="shared" si="21"/>
        <v>107.19306177498891</v>
      </c>
      <c r="K45" s="47">
        <f t="shared" si="21"/>
        <v>118.00899736447478</v>
      </c>
      <c r="L45" s="47">
        <f t="shared" si="21"/>
        <v>99.528592260641361</v>
      </c>
      <c r="M45" s="47">
        <f t="shared" si="21"/>
        <v>115.62774336022056</v>
      </c>
      <c r="N45" s="47">
        <f t="shared" si="21"/>
        <v>227.06629630688175</v>
      </c>
      <c r="O45" s="47">
        <f t="shared" si="21"/>
        <v>240.54092371258292</v>
      </c>
      <c r="P45" s="47">
        <f t="shared" si="21"/>
        <v>256.44843145540437</v>
      </c>
      <c r="Q45" s="47">
        <f t="shared" si="21"/>
        <v>267.22956383732009</v>
      </c>
      <c r="R45" s="47">
        <f t="shared" si="21"/>
        <v>298.20573533173945</v>
      </c>
      <c r="S45" s="47">
        <f t="shared" si="21"/>
        <v>459.84921203570508</v>
      </c>
      <c r="T45" s="47">
        <f t="shared" si="21"/>
        <v>461.58645243672402</v>
      </c>
      <c r="U45" s="47">
        <f t="shared" si="21"/>
        <v>495.53705747362812</v>
      </c>
      <c r="V45" s="47">
        <f t="shared" si="21"/>
        <v>517.40366539207253</v>
      </c>
      <c r="W45" s="47">
        <f t="shared" si="21"/>
        <v>548.64789409853768</v>
      </c>
      <c r="X45" s="47">
        <f t="shared" si="21"/>
        <v>594.64188856621035</v>
      </c>
      <c r="Y45" s="47">
        <f t="shared" si="21"/>
        <v>585.0393696850067</v>
      </c>
      <c r="Z45" s="47">
        <f t="shared" si="21"/>
        <v>564.46824301847346</v>
      </c>
      <c r="AA45" s="47">
        <f t="shared" si="21"/>
        <v>621.25622201502279</v>
      </c>
      <c r="AB45" s="47">
        <f t="shared" si="21"/>
        <v>665.93835127687987</v>
      </c>
      <c r="AC45" s="47">
        <f t="shared" si="21"/>
        <v>715.05557635089349</v>
      </c>
      <c r="AD45" s="47">
        <f t="shared" si="21"/>
        <v>698.54366508217845</v>
      </c>
      <c r="AE45" s="47">
        <f t="shared" si="21"/>
        <v>682.62698584856628</v>
      </c>
    </row>
    <row r="46" spans="1:31" x14ac:dyDescent="0.25">
      <c r="A46" s="53" t="s">
        <v>67</v>
      </c>
      <c r="B46" s="181">
        <v>0</v>
      </c>
      <c r="C46" s="181">
        <v>0</v>
      </c>
      <c r="D46" s="181">
        <v>0</v>
      </c>
      <c r="E46" s="181">
        <v>0</v>
      </c>
      <c r="F46" s="181">
        <v>0</v>
      </c>
      <c r="G46" s="181">
        <v>0</v>
      </c>
      <c r="H46" s="181">
        <v>0</v>
      </c>
      <c r="I46" s="181">
        <f>+I31</f>
        <v>138.00248418002869</v>
      </c>
      <c r="J46" s="181">
        <f>+J31</f>
        <v>138.00248418002869</v>
      </c>
      <c r="K46" s="181">
        <f t="shared" ref="K46:AE46" si="22">+K31</f>
        <v>221.18291467967254</v>
      </c>
      <c r="L46" s="181">
        <f t="shared" si="22"/>
        <v>221.18291467967254</v>
      </c>
      <c r="M46" s="181">
        <f t="shared" si="22"/>
        <v>221.18291467967254</v>
      </c>
      <c r="N46" s="181">
        <f t="shared" si="22"/>
        <v>221.18291467967254</v>
      </c>
      <c r="O46" s="181">
        <f t="shared" si="22"/>
        <v>221.18291467967254</v>
      </c>
      <c r="P46" s="181">
        <f t="shared" si="22"/>
        <v>221.18291467967254</v>
      </c>
      <c r="Q46" s="181">
        <f t="shared" si="22"/>
        <v>221.18291467967254</v>
      </c>
      <c r="R46" s="181">
        <f t="shared" si="22"/>
        <v>221.18291467967254</v>
      </c>
      <c r="S46" s="181">
        <f t="shared" si="22"/>
        <v>221.18291467967254</v>
      </c>
      <c r="T46" s="181">
        <f t="shared" si="22"/>
        <v>221.18291467967254</v>
      </c>
      <c r="U46" s="181">
        <f t="shared" si="22"/>
        <v>221.18291467967254</v>
      </c>
      <c r="V46" s="181">
        <f t="shared" si="22"/>
        <v>221.18291467967254</v>
      </c>
      <c r="W46" s="181">
        <f t="shared" si="22"/>
        <v>221.18291467967254</v>
      </c>
      <c r="X46" s="181">
        <f t="shared" si="22"/>
        <v>221.18291467967254</v>
      </c>
      <c r="Y46" s="181">
        <f t="shared" si="22"/>
        <v>221.18291467967254</v>
      </c>
      <c r="Z46" s="181">
        <f t="shared" si="22"/>
        <v>221.18291467967254</v>
      </c>
      <c r="AA46" s="181">
        <f t="shared" si="22"/>
        <v>221.18291467967254</v>
      </c>
      <c r="AB46" s="181">
        <f t="shared" si="22"/>
        <v>221.18291467967254</v>
      </c>
      <c r="AC46" s="181">
        <f t="shared" si="22"/>
        <v>221.18291467967254</v>
      </c>
      <c r="AD46" s="181">
        <f t="shared" si="22"/>
        <v>221.18291467967254</v>
      </c>
      <c r="AE46" s="181">
        <f t="shared" si="22"/>
        <v>221.18291467967254</v>
      </c>
    </row>
    <row r="47" spans="1:31" x14ac:dyDescent="0.25">
      <c r="A47" t="s">
        <v>68</v>
      </c>
      <c r="B47" s="43">
        <f>XNPV(NotSlowWACC,B45:AE45,$B$10:$AE$10)</f>
        <v>3597.2082157651853</v>
      </c>
      <c r="C47" s="134"/>
      <c r="D47" s="135"/>
      <c r="E47" s="136"/>
      <c r="F47" s="137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</row>
    <row r="48" spans="1:31" x14ac:dyDescent="0.25">
      <c r="A48" t="s">
        <v>69</v>
      </c>
      <c r="B48" s="43">
        <f>XNPV(NotSlowWACC,B46:AE46,$B$10:$AE$10)</f>
        <v>2176.854629554563</v>
      </c>
      <c r="C48" s="134"/>
      <c r="D48" s="135"/>
      <c r="E48" s="136"/>
      <c r="F48" s="137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</row>
    <row r="49" spans="1:31" ht="15.75" thickBot="1" x14ac:dyDescent="0.3">
      <c r="A49" s="1" t="s">
        <v>119</v>
      </c>
      <c r="B49" s="68">
        <f>+B47-B48</f>
        <v>1420.3535862106223</v>
      </c>
      <c r="C49" s="134"/>
      <c r="D49" s="135"/>
      <c r="E49" s="136"/>
      <c r="F49" s="137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</row>
    <row r="50" spans="1:31" ht="16.5" thickTop="1" thickBot="1" x14ac:dyDescent="0.3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</row>
    <row r="51" spans="1:31" ht="15.75" thickTop="1" x14ac:dyDescent="0.25">
      <c r="A51" s="71" t="str">
        <f>+A2</f>
        <v>Option 4:  750 MW in 2027 and 750 MW in 2029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</row>
    <row r="52" spans="1:31" x14ac:dyDescent="0.25">
      <c r="A52" s="73" t="s">
        <v>72</v>
      </c>
      <c r="B52" s="74" t="str">
        <f>+Overview!D9</f>
        <v xml:space="preserve">Fast Change 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</row>
    <row r="53" spans="1:31" x14ac:dyDescent="0.25">
      <c r="A53" s="2" t="s">
        <v>34</v>
      </c>
      <c r="B53" s="1">
        <v>0</v>
      </c>
      <c r="C53" s="1">
        <f>+B53+1</f>
        <v>1</v>
      </c>
      <c r="D53" s="1">
        <f t="shared" ref="D53:AE53" si="23">+C53+1</f>
        <v>2</v>
      </c>
      <c r="E53" s="1">
        <f t="shared" si="23"/>
        <v>3</v>
      </c>
      <c r="F53" s="1">
        <f t="shared" si="23"/>
        <v>4</v>
      </c>
      <c r="G53" s="1">
        <f t="shared" si="23"/>
        <v>5</v>
      </c>
      <c r="H53" s="8">
        <f t="shared" si="23"/>
        <v>6</v>
      </c>
      <c r="I53" s="1">
        <f t="shared" si="23"/>
        <v>7</v>
      </c>
      <c r="J53" s="1">
        <f t="shared" si="23"/>
        <v>8</v>
      </c>
      <c r="K53" s="1">
        <f t="shared" si="23"/>
        <v>9</v>
      </c>
      <c r="L53" s="1">
        <f t="shared" si="23"/>
        <v>10</v>
      </c>
      <c r="M53" s="1">
        <f t="shared" si="23"/>
        <v>11</v>
      </c>
      <c r="N53" s="1">
        <f t="shared" si="23"/>
        <v>12</v>
      </c>
      <c r="O53" s="1">
        <f t="shared" si="23"/>
        <v>13</v>
      </c>
      <c r="P53" s="1">
        <f t="shared" si="23"/>
        <v>14</v>
      </c>
      <c r="Q53" s="1">
        <f t="shared" si="23"/>
        <v>15</v>
      </c>
      <c r="R53" s="1">
        <f t="shared" si="23"/>
        <v>16</v>
      </c>
      <c r="S53" s="1">
        <f t="shared" si="23"/>
        <v>17</v>
      </c>
      <c r="T53" s="1">
        <f t="shared" si="23"/>
        <v>18</v>
      </c>
      <c r="U53" s="1">
        <f t="shared" si="23"/>
        <v>19</v>
      </c>
      <c r="V53" s="1">
        <f t="shared" si="23"/>
        <v>20</v>
      </c>
      <c r="W53" s="1">
        <f t="shared" si="23"/>
        <v>21</v>
      </c>
      <c r="X53" s="1">
        <f t="shared" si="23"/>
        <v>22</v>
      </c>
      <c r="Y53" s="1">
        <f t="shared" si="23"/>
        <v>23</v>
      </c>
      <c r="Z53" s="1">
        <f t="shared" si="23"/>
        <v>24</v>
      </c>
      <c r="AA53" s="1">
        <f t="shared" si="23"/>
        <v>25</v>
      </c>
      <c r="AB53" s="1">
        <f t="shared" si="23"/>
        <v>26</v>
      </c>
      <c r="AC53" s="1">
        <f t="shared" si="23"/>
        <v>27</v>
      </c>
      <c r="AD53" s="1">
        <f t="shared" si="23"/>
        <v>28</v>
      </c>
      <c r="AE53" s="1">
        <f t="shared" si="23"/>
        <v>29</v>
      </c>
    </row>
    <row r="54" spans="1:31" x14ac:dyDescent="0.25">
      <c r="A54" t="s">
        <v>35</v>
      </c>
      <c r="B54" s="4">
        <v>1</v>
      </c>
      <c r="C54" s="4">
        <f t="shared" ref="C54:AE54" si="24">1/((1+NotSlowWACC)^((C55-$B$10)/365))</f>
        <v>0.95419847328244267</v>
      </c>
      <c r="D54" s="4">
        <f t="shared" si="24"/>
        <v>0.91049472641454443</v>
      </c>
      <c r="E54" s="4">
        <f t="shared" si="24"/>
        <v>0.86879267787647374</v>
      </c>
      <c r="F54" s="4">
        <f t="shared" si="24"/>
        <v>0.82889417004246191</v>
      </c>
      <c r="G54" s="4">
        <f t="shared" si="24"/>
        <v>0.79092955156723455</v>
      </c>
      <c r="H54" s="4">
        <f t="shared" si="24"/>
        <v>0.75470377057942228</v>
      </c>
      <c r="I54" s="4">
        <f t="shared" si="24"/>
        <v>0.7201371856673876</v>
      </c>
      <c r="J54" s="4">
        <f t="shared" si="24"/>
        <v>0.68706554513038165</v>
      </c>
      <c r="K54" s="4">
        <f t="shared" si="24"/>
        <v>0.65559689420837941</v>
      </c>
      <c r="L54" s="4">
        <f t="shared" si="24"/>
        <v>0.62556955554234672</v>
      </c>
      <c r="M54" s="4">
        <f t="shared" si="24"/>
        <v>0.5969175148304835</v>
      </c>
      <c r="N54" s="4">
        <f t="shared" si="24"/>
        <v>0.56950462479561925</v>
      </c>
      <c r="O54" s="4">
        <f t="shared" si="24"/>
        <v>0.54342044350727026</v>
      </c>
      <c r="P54" s="4">
        <f t="shared" si="24"/>
        <v>0.51853095754510525</v>
      </c>
      <c r="Q54" s="4">
        <f t="shared" si="24"/>
        <v>0.49478144803922253</v>
      </c>
      <c r="R54" s="4">
        <f t="shared" si="24"/>
        <v>0.47205906330530845</v>
      </c>
      <c r="S54" s="4">
        <f t="shared" si="24"/>
        <v>0.45043803750506534</v>
      </c>
      <c r="T54" s="4">
        <f t="shared" si="24"/>
        <v>0.429807287695673</v>
      </c>
      <c r="U54" s="4">
        <f t="shared" si="24"/>
        <v>0.41012145772487879</v>
      </c>
      <c r="V54" s="4">
        <f t="shared" si="24"/>
        <v>0.39128700548947559</v>
      </c>
      <c r="W54" s="4">
        <f t="shared" si="24"/>
        <v>0.37336546325331643</v>
      </c>
      <c r="X54" s="4">
        <f t="shared" si="24"/>
        <v>0.35626475501270649</v>
      </c>
      <c r="Y54" s="4">
        <f t="shared" si="24"/>
        <v>0.33994728531746798</v>
      </c>
      <c r="Z54" s="4">
        <f t="shared" si="24"/>
        <v>0.32433551766359908</v>
      </c>
      <c r="AA54" s="4">
        <f t="shared" si="24"/>
        <v>0.30948045578587696</v>
      </c>
      <c r="AB54" s="4">
        <f t="shared" si="24"/>
        <v>0.29530577842163835</v>
      </c>
      <c r="AC54" s="4">
        <f t="shared" si="24"/>
        <v>0.28178032292141064</v>
      </c>
      <c r="AD54" s="4">
        <f t="shared" si="24"/>
        <v>0.26883981972906118</v>
      </c>
      <c r="AE54" s="4">
        <f t="shared" si="24"/>
        <v>0.25652654554299731</v>
      </c>
    </row>
    <row r="55" spans="1:31" x14ac:dyDescent="0.25">
      <c r="A55" s="5" t="s">
        <v>70</v>
      </c>
      <c r="B55" s="6">
        <f>+B40</f>
        <v>44013</v>
      </c>
      <c r="C55" s="6">
        <f t="shared" ref="C55:AE56" si="25">+C40</f>
        <v>44378</v>
      </c>
      <c r="D55" s="6">
        <f t="shared" si="25"/>
        <v>44743</v>
      </c>
      <c r="E55" s="6">
        <f t="shared" si="25"/>
        <v>45108</v>
      </c>
      <c r="F55" s="6">
        <f t="shared" si="25"/>
        <v>45474</v>
      </c>
      <c r="G55" s="6">
        <f t="shared" si="25"/>
        <v>45839</v>
      </c>
      <c r="H55" s="6">
        <f t="shared" si="25"/>
        <v>46204</v>
      </c>
      <c r="I55" s="6">
        <f t="shared" si="25"/>
        <v>46569</v>
      </c>
      <c r="J55" s="6">
        <f t="shared" si="25"/>
        <v>46935</v>
      </c>
      <c r="K55" s="6">
        <f t="shared" si="25"/>
        <v>47300</v>
      </c>
      <c r="L55" s="6">
        <f t="shared" si="25"/>
        <v>47665</v>
      </c>
      <c r="M55" s="6">
        <f t="shared" si="25"/>
        <v>48030</v>
      </c>
      <c r="N55" s="6">
        <f t="shared" si="25"/>
        <v>48396</v>
      </c>
      <c r="O55" s="6">
        <f t="shared" si="25"/>
        <v>48761</v>
      </c>
      <c r="P55" s="6">
        <f t="shared" si="25"/>
        <v>49126</v>
      </c>
      <c r="Q55" s="6">
        <f t="shared" si="25"/>
        <v>49491</v>
      </c>
      <c r="R55" s="6">
        <f t="shared" si="25"/>
        <v>49857</v>
      </c>
      <c r="S55" s="6">
        <f t="shared" si="25"/>
        <v>50222</v>
      </c>
      <c r="T55" s="6">
        <f t="shared" si="25"/>
        <v>50587</v>
      </c>
      <c r="U55" s="6">
        <f t="shared" si="25"/>
        <v>50952</v>
      </c>
      <c r="V55" s="6">
        <f t="shared" si="25"/>
        <v>51318</v>
      </c>
      <c r="W55" s="6">
        <f t="shared" si="25"/>
        <v>51683</v>
      </c>
      <c r="X55" s="6">
        <f t="shared" si="25"/>
        <v>52048</v>
      </c>
      <c r="Y55" s="6">
        <f t="shared" si="25"/>
        <v>52413</v>
      </c>
      <c r="Z55" s="6">
        <f t="shared" si="25"/>
        <v>52779</v>
      </c>
      <c r="AA55" s="6">
        <f t="shared" si="25"/>
        <v>53144</v>
      </c>
      <c r="AB55" s="6">
        <f t="shared" si="25"/>
        <v>53509</v>
      </c>
      <c r="AC55" s="6">
        <f t="shared" si="25"/>
        <v>53874</v>
      </c>
      <c r="AD55" s="6">
        <f t="shared" si="25"/>
        <v>54240</v>
      </c>
      <c r="AE55" s="6">
        <f t="shared" si="25"/>
        <v>54605</v>
      </c>
    </row>
    <row r="56" spans="1:31" x14ac:dyDescent="0.25">
      <c r="A56" s="179" t="s">
        <v>39</v>
      </c>
      <c r="B56" s="180" t="str">
        <f>+B41</f>
        <v>2020-21</v>
      </c>
      <c r="C56" s="180" t="str">
        <f t="shared" si="25"/>
        <v>2021-22</v>
      </c>
      <c r="D56" s="180" t="str">
        <f t="shared" si="25"/>
        <v>2022-23</v>
      </c>
      <c r="E56" s="180" t="str">
        <f t="shared" si="25"/>
        <v>2023-24</v>
      </c>
      <c r="F56" s="180" t="str">
        <f t="shared" si="25"/>
        <v>2024-25</v>
      </c>
      <c r="G56" s="180" t="str">
        <f t="shared" si="25"/>
        <v>2025-26</v>
      </c>
      <c r="H56" s="180" t="str">
        <f t="shared" si="25"/>
        <v>2026-27</v>
      </c>
      <c r="I56" s="180" t="str">
        <f t="shared" si="25"/>
        <v>2027-28</v>
      </c>
      <c r="J56" s="180" t="str">
        <f t="shared" si="25"/>
        <v>2028-29</v>
      </c>
      <c r="K56" s="180" t="str">
        <f t="shared" si="25"/>
        <v>2029-30</v>
      </c>
      <c r="L56" s="180" t="str">
        <f t="shared" si="25"/>
        <v>2030-31</v>
      </c>
      <c r="M56" s="180" t="str">
        <f t="shared" si="25"/>
        <v>2031-32</v>
      </c>
      <c r="N56" s="180" t="str">
        <f t="shared" si="25"/>
        <v>2032-33</v>
      </c>
      <c r="O56" s="180" t="str">
        <f t="shared" si="25"/>
        <v>2033-34</v>
      </c>
      <c r="P56" s="180" t="str">
        <f t="shared" si="25"/>
        <v>2034-35</v>
      </c>
      <c r="Q56" s="180" t="str">
        <f t="shared" si="25"/>
        <v>2035-36</v>
      </c>
      <c r="R56" s="180" t="str">
        <f t="shared" si="25"/>
        <v>2036-37</v>
      </c>
      <c r="S56" s="180" t="str">
        <f t="shared" si="25"/>
        <v>2037-38</v>
      </c>
      <c r="T56" s="180" t="str">
        <f t="shared" si="25"/>
        <v>2038-39</v>
      </c>
      <c r="U56" s="180" t="str">
        <f t="shared" si="25"/>
        <v>2039-40</v>
      </c>
      <c r="V56" s="180" t="str">
        <f t="shared" si="25"/>
        <v>2040-41</v>
      </c>
      <c r="W56" s="180" t="str">
        <f t="shared" si="25"/>
        <v>2041-42</v>
      </c>
      <c r="X56" s="180" t="str">
        <f t="shared" si="25"/>
        <v>2042-43</v>
      </c>
      <c r="Y56" s="180" t="str">
        <f t="shared" si="25"/>
        <v>2043-44</v>
      </c>
      <c r="Z56" s="180" t="str">
        <f t="shared" si="25"/>
        <v>2044-45</v>
      </c>
      <c r="AA56" s="180" t="str">
        <f t="shared" si="25"/>
        <v>2045-46</v>
      </c>
      <c r="AB56" s="180" t="str">
        <f t="shared" si="25"/>
        <v>2046-47</v>
      </c>
      <c r="AC56" s="180" t="str">
        <f t="shared" si="25"/>
        <v>2047-48</v>
      </c>
      <c r="AD56" s="180" t="str">
        <f t="shared" si="25"/>
        <v>2048-49</v>
      </c>
      <c r="AE56" s="180" t="str">
        <f t="shared" si="25"/>
        <v>2049-50</v>
      </c>
    </row>
    <row r="57" spans="1:31" x14ac:dyDescent="0.25">
      <c r="A57" s="52" t="str">
        <f>+A42</f>
        <v>Market benefits (PV at 2020)</v>
      </c>
      <c r="B57" s="77">
        <v>0</v>
      </c>
      <c r="C57" s="77">
        <v>1.0662746908009768</v>
      </c>
      <c r="D57" s="77">
        <v>-0.41340898922703029</v>
      </c>
      <c r="E57" s="77">
        <v>-5.3534924343045214</v>
      </c>
      <c r="F57" s="77">
        <v>-5.1443040150613513</v>
      </c>
      <c r="G57" s="77">
        <v>89.894181782287632</v>
      </c>
      <c r="H57" s="77">
        <v>-40.947683700255489</v>
      </c>
      <c r="I57" s="77">
        <v>41.841104368229573</v>
      </c>
      <c r="J57" s="77">
        <v>76.058032534756421</v>
      </c>
      <c r="K57" s="77">
        <v>68.030143776328615</v>
      </c>
      <c r="L57" s="77">
        <v>63.017134687094014</v>
      </c>
      <c r="M57" s="77">
        <v>67.350426886436949</v>
      </c>
      <c r="N57" s="77">
        <v>133.21734450274667</v>
      </c>
      <c r="O57" s="77">
        <v>127.92737934806259</v>
      </c>
      <c r="P57" s="77">
        <v>130.17771543782578</v>
      </c>
      <c r="Q57" s="77">
        <v>150.35303206650602</v>
      </c>
      <c r="R57" s="77">
        <v>147.31511295011487</v>
      </c>
      <c r="S57" s="77">
        <v>223.72785591301462</v>
      </c>
      <c r="T57" s="77">
        <v>205.26591453908523</v>
      </c>
      <c r="U57" s="77">
        <v>196.45697093072971</v>
      </c>
      <c r="V57" s="77">
        <v>209.94920088462345</v>
      </c>
      <c r="W57" s="77">
        <v>204.60591769921677</v>
      </c>
      <c r="X57" s="77">
        <v>210.37446938334057</v>
      </c>
      <c r="Y57" s="77">
        <v>210.80874831458462</v>
      </c>
      <c r="Z57" s="77">
        <v>192.70439108436398</v>
      </c>
      <c r="AA57" s="77">
        <v>193.24429404686248</v>
      </c>
      <c r="AB57" s="77">
        <v>200.48878197421848</v>
      </c>
      <c r="AC57" s="77">
        <v>196.42939844297513</v>
      </c>
      <c r="AD57" s="77">
        <v>199.62344554473827</v>
      </c>
      <c r="AE57" s="77">
        <v>190.69963606125543</v>
      </c>
    </row>
    <row r="58" spans="1:31" x14ac:dyDescent="0.25">
      <c r="A58" s="48" t="s">
        <v>42</v>
      </c>
      <c r="B58" s="49">
        <f t="shared" ref="B58:AE58" si="26">+B57/B54</f>
        <v>0</v>
      </c>
      <c r="C58" s="49">
        <f t="shared" si="26"/>
        <v>1.1174558759594238</v>
      </c>
      <c r="D58" s="49">
        <f t="shared" si="26"/>
        <v>-0.45404874650400434</v>
      </c>
      <c r="E58" s="49">
        <f t="shared" si="26"/>
        <v>-6.1619907379855805</v>
      </c>
      <c r="F58" s="49">
        <f t="shared" si="26"/>
        <v>-6.2062253554007061</v>
      </c>
      <c r="G58" s="49">
        <f t="shared" si="26"/>
        <v>113.65637003214944</v>
      </c>
      <c r="H58" s="49">
        <f t="shared" si="26"/>
        <v>-54.256630609938505</v>
      </c>
      <c r="I58" s="49">
        <f t="shared" si="26"/>
        <v>58.101574534653842</v>
      </c>
      <c r="J58" s="49">
        <f t="shared" si="26"/>
        <v>110.69982052487175</v>
      </c>
      <c r="K58" s="49">
        <f t="shared" si="26"/>
        <v>103.76825207275226</v>
      </c>
      <c r="L58" s="49">
        <f t="shared" si="26"/>
        <v>100.73561625367203</v>
      </c>
      <c r="M58" s="49">
        <f t="shared" si="26"/>
        <v>112.83037473873347</v>
      </c>
      <c r="N58" s="49">
        <f t="shared" si="26"/>
        <v>233.91793271311008</v>
      </c>
      <c r="O58" s="49">
        <f t="shared" si="26"/>
        <v>235.41142199658722</v>
      </c>
      <c r="P58" s="49">
        <f t="shared" si="26"/>
        <v>251.05100002925488</v>
      </c>
      <c r="Q58" s="49">
        <f t="shared" si="26"/>
        <v>303.87766692211784</v>
      </c>
      <c r="R58" s="49">
        <f t="shared" si="26"/>
        <v>312.06923963842524</v>
      </c>
      <c r="S58" s="49">
        <f t="shared" si="26"/>
        <v>496.68952727043779</v>
      </c>
      <c r="T58" s="49">
        <f t="shared" si="26"/>
        <v>477.57662658438841</v>
      </c>
      <c r="U58" s="49">
        <f t="shared" si="26"/>
        <v>479.02143921110968</v>
      </c>
      <c r="V58" s="49">
        <f t="shared" si="26"/>
        <v>536.56062669903929</v>
      </c>
      <c r="W58" s="49">
        <f t="shared" si="26"/>
        <v>548.00440275430151</v>
      </c>
      <c r="X58" s="49">
        <f t="shared" si="26"/>
        <v>590.50036924319772</v>
      </c>
      <c r="Y58" s="49">
        <f t="shared" si="26"/>
        <v>620.12187600708671</v>
      </c>
      <c r="Z58" s="49">
        <f t="shared" si="26"/>
        <v>594.15136668515299</v>
      </c>
      <c r="AA58" s="49">
        <f t="shared" si="26"/>
        <v>624.41517851635888</v>
      </c>
      <c r="AB58" s="49">
        <f t="shared" si="26"/>
        <v>678.91926478986841</v>
      </c>
      <c r="AC58" s="49">
        <f t="shared" si="26"/>
        <v>697.10119005633999</v>
      </c>
      <c r="AD58" s="49">
        <f t="shared" si="26"/>
        <v>742.53674826117765</v>
      </c>
      <c r="AE58" s="49">
        <f t="shared" si="26"/>
        <v>743.39143209368797</v>
      </c>
    </row>
    <row r="59" spans="1:31" x14ac:dyDescent="0.25">
      <c r="A59" s="50" t="s">
        <v>40</v>
      </c>
      <c r="B59" s="51">
        <f t="shared" ref="B59:H59" si="27">+B44</f>
        <v>0</v>
      </c>
      <c r="C59" s="51">
        <f t="shared" si="27"/>
        <v>0</v>
      </c>
      <c r="D59" s="51">
        <f t="shared" si="27"/>
        <v>0</v>
      </c>
      <c r="E59" s="51">
        <f t="shared" si="27"/>
        <v>0</v>
      </c>
      <c r="F59" s="51">
        <f t="shared" si="27"/>
        <v>0</v>
      </c>
      <c r="G59" s="51">
        <f t="shared" si="27"/>
        <v>0</v>
      </c>
      <c r="H59" s="51">
        <f t="shared" si="27"/>
        <v>0</v>
      </c>
      <c r="I59" s="51">
        <f>+I44</f>
        <v>15.788363499540408</v>
      </c>
      <c r="J59" s="51">
        <f t="shared" ref="J59:AE59" si="28">+J44</f>
        <v>15.876122651112929</v>
      </c>
      <c r="K59" s="51">
        <f t="shared" si="28"/>
        <v>15.961779131322926</v>
      </c>
      <c r="L59" s="51">
        <f t="shared" si="28"/>
        <v>16.048292176335021</v>
      </c>
      <c r="M59" s="51">
        <f t="shared" si="28"/>
        <v>16.135670351797238</v>
      </c>
      <c r="N59" s="51">
        <f t="shared" si="28"/>
        <v>16.223922309014075</v>
      </c>
      <c r="O59" s="51">
        <f t="shared" si="28"/>
        <v>16.313056785803084</v>
      </c>
      <c r="P59" s="51">
        <f t="shared" si="28"/>
        <v>16.40308260735998</v>
      </c>
      <c r="Q59" s="51">
        <f t="shared" si="28"/>
        <v>16.49400868713245</v>
      </c>
      <c r="R59" s="51">
        <f t="shared" si="28"/>
        <v>16.585844027702642</v>
      </c>
      <c r="S59" s="51">
        <f t="shared" si="28"/>
        <v>16.678597721678535</v>
      </c>
      <c r="T59" s="51">
        <f t="shared" si="28"/>
        <v>16.772278952594188</v>
      </c>
      <c r="U59" s="51">
        <f t="shared" si="28"/>
        <v>16.866896995818998</v>
      </c>
      <c r="V59" s="51">
        <f t="shared" si="28"/>
        <v>16.962461219476054</v>
      </c>
      <c r="W59" s="51">
        <f t="shared" si="28"/>
        <v>17.058981085369684</v>
      </c>
      <c r="X59" s="51">
        <f t="shared" si="28"/>
        <v>17.156466149922252</v>
      </c>
      <c r="Y59" s="51">
        <f t="shared" si="28"/>
        <v>17.25492606512034</v>
      </c>
      <c r="Z59" s="51">
        <f t="shared" si="28"/>
        <v>17.354370579470412</v>
      </c>
      <c r="AA59" s="51">
        <f t="shared" si="28"/>
        <v>17.454809538963978</v>
      </c>
      <c r="AB59" s="51">
        <f t="shared" si="28"/>
        <v>17.556252888052487</v>
      </c>
      <c r="AC59" s="51">
        <f t="shared" si="28"/>
        <v>17.658710670631876</v>
      </c>
      <c r="AD59" s="51">
        <f t="shared" si="28"/>
        <v>17.762193031037071</v>
      </c>
      <c r="AE59" s="51">
        <f t="shared" si="28"/>
        <v>17.866710215046304</v>
      </c>
    </row>
    <row r="60" spans="1:31" x14ac:dyDescent="0.25">
      <c r="A60" s="46" t="s">
        <v>41</v>
      </c>
      <c r="B60" s="47">
        <f>+B59+B58</f>
        <v>0</v>
      </c>
      <c r="C60" s="47">
        <f t="shared" ref="C60:AE60" si="29">+C59+C58</f>
        <v>1.1174558759594238</v>
      </c>
      <c r="D60" s="47">
        <f t="shared" si="29"/>
        <v>-0.45404874650400434</v>
      </c>
      <c r="E60" s="47">
        <f t="shared" si="29"/>
        <v>-6.1619907379855805</v>
      </c>
      <c r="F60" s="47">
        <f t="shared" si="29"/>
        <v>-6.2062253554007061</v>
      </c>
      <c r="G60" s="47">
        <f t="shared" si="29"/>
        <v>113.65637003214944</v>
      </c>
      <c r="H60" s="47">
        <f t="shared" si="29"/>
        <v>-54.256630609938505</v>
      </c>
      <c r="I60" s="47">
        <f t="shared" si="29"/>
        <v>73.889938034194245</v>
      </c>
      <c r="J60" s="47">
        <f t="shared" si="29"/>
        <v>126.57594317598469</v>
      </c>
      <c r="K60" s="47">
        <f t="shared" si="29"/>
        <v>119.73003120407519</v>
      </c>
      <c r="L60" s="47">
        <f t="shared" si="29"/>
        <v>116.78390843000706</v>
      </c>
      <c r="M60" s="47">
        <f t="shared" si="29"/>
        <v>128.96604509053071</v>
      </c>
      <c r="N60" s="47">
        <f t="shared" si="29"/>
        <v>250.14185502212416</v>
      </c>
      <c r="O60" s="47">
        <f t="shared" si="29"/>
        <v>251.72447878239029</v>
      </c>
      <c r="P60" s="47">
        <f t="shared" si="29"/>
        <v>267.45408263661488</v>
      </c>
      <c r="Q60" s="47">
        <f t="shared" si="29"/>
        <v>320.3716756092503</v>
      </c>
      <c r="R60" s="47">
        <f t="shared" si="29"/>
        <v>328.65508366612789</v>
      </c>
      <c r="S60" s="47">
        <f t="shared" si="29"/>
        <v>513.36812499211635</v>
      </c>
      <c r="T60" s="47">
        <f t="shared" si="29"/>
        <v>494.34890553698261</v>
      </c>
      <c r="U60" s="47">
        <f t="shared" si="29"/>
        <v>495.88833620692867</v>
      </c>
      <c r="V60" s="47">
        <f t="shared" si="29"/>
        <v>553.52308791851533</v>
      </c>
      <c r="W60" s="47">
        <f t="shared" si="29"/>
        <v>565.06338383967125</v>
      </c>
      <c r="X60" s="47">
        <f t="shared" si="29"/>
        <v>607.65683539311999</v>
      </c>
      <c r="Y60" s="47">
        <f t="shared" si="29"/>
        <v>637.37680207220706</v>
      </c>
      <c r="Z60" s="47">
        <f t="shared" si="29"/>
        <v>611.50573726462335</v>
      </c>
      <c r="AA60" s="47">
        <f t="shared" si="29"/>
        <v>641.86998805532289</v>
      </c>
      <c r="AB60" s="47">
        <f t="shared" si="29"/>
        <v>696.47551767792095</v>
      </c>
      <c r="AC60" s="47">
        <f t="shared" si="29"/>
        <v>714.75990072697186</v>
      </c>
      <c r="AD60" s="47">
        <f t="shared" si="29"/>
        <v>760.29894129221475</v>
      </c>
      <c r="AE60" s="47">
        <f t="shared" si="29"/>
        <v>761.25814230873425</v>
      </c>
    </row>
    <row r="61" spans="1:31" x14ac:dyDescent="0.25">
      <c r="A61" s="53" t="s">
        <v>67</v>
      </c>
      <c r="B61" s="181">
        <v>0</v>
      </c>
      <c r="C61" s="181">
        <v>0</v>
      </c>
      <c r="D61" s="181">
        <v>0</v>
      </c>
      <c r="E61" s="181">
        <v>0</v>
      </c>
      <c r="F61" s="181">
        <v>0</v>
      </c>
      <c r="G61" s="181">
        <v>0</v>
      </c>
      <c r="H61" s="181">
        <v>0</v>
      </c>
      <c r="I61" s="181">
        <f>+I46</f>
        <v>138.00248418002869</v>
      </c>
      <c r="J61" s="181">
        <f>+J46</f>
        <v>138.00248418002869</v>
      </c>
      <c r="K61" s="181">
        <f t="shared" ref="K61:AE61" si="30">+K46</f>
        <v>221.18291467967254</v>
      </c>
      <c r="L61" s="181">
        <f t="shared" si="30"/>
        <v>221.18291467967254</v>
      </c>
      <c r="M61" s="181">
        <f t="shared" si="30"/>
        <v>221.18291467967254</v>
      </c>
      <c r="N61" s="181">
        <f t="shared" si="30"/>
        <v>221.18291467967254</v>
      </c>
      <c r="O61" s="181">
        <f t="shared" si="30"/>
        <v>221.18291467967254</v>
      </c>
      <c r="P61" s="181">
        <f t="shared" si="30"/>
        <v>221.18291467967254</v>
      </c>
      <c r="Q61" s="181">
        <f t="shared" si="30"/>
        <v>221.18291467967254</v>
      </c>
      <c r="R61" s="181">
        <f t="shared" si="30"/>
        <v>221.18291467967254</v>
      </c>
      <c r="S61" s="181">
        <f t="shared" si="30"/>
        <v>221.18291467967254</v>
      </c>
      <c r="T61" s="181">
        <f t="shared" si="30"/>
        <v>221.18291467967254</v>
      </c>
      <c r="U61" s="181">
        <f t="shared" si="30"/>
        <v>221.18291467967254</v>
      </c>
      <c r="V61" s="181">
        <f t="shared" si="30"/>
        <v>221.18291467967254</v>
      </c>
      <c r="W61" s="181">
        <f t="shared" si="30"/>
        <v>221.18291467967254</v>
      </c>
      <c r="X61" s="181">
        <f t="shared" si="30"/>
        <v>221.18291467967254</v>
      </c>
      <c r="Y61" s="181">
        <f t="shared" si="30"/>
        <v>221.18291467967254</v>
      </c>
      <c r="Z61" s="181">
        <f t="shared" si="30"/>
        <v>221.18291467967254</v>
      </c>
      <c r="AA61" s="181">
        <f t="shared" si="30"/>
        <v>221.18291467967254</v>
      </c>
      <c r="AB61" s="181">
        <f t="shared" si="30"/>
        <v>221.18291467967254</v>
      </c>
      <c r="AC61" s="181">
        <f t="shared" si="30"/>
        <v>221.18291467967254</v>
      </c>
      <c r="AD61" s="181">
        <f t="shared" si="30"/>
        <v>221.18291467967254</v>
      </c>
      <c r="AE61" s="181">
        <f t="shared" si="30"/>
        <v>221.18291467967254</v>
      </c>
    </row>
    <row r="62" spans="1:31" x14ac:dyDescent="0.25">
      <c r="A62" t="s">
        <v>68</v>
      </c>
      <c r="B62" s="43">
        <f>XNPV(NotSlowWACC,B60:AE60,$B$10:$AE$10)</f>
        <v>3850.9544092491942</v>
      </c>
      <c r="C62" s="134"/>
      <c r="D62" s="135"/>
      <c r="E62" s="136"/>
      <c r="F62" s="137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</row>
    <row r="63" spans="1:31" x14ac:dyDescent="0.25">
      <c r="A63" t="s">
        <v>69</v>
      </c>
      <c r="B63" s="43">
        <f>XNPV(NotSlowWACC,B61:AE61,$B$10:$AE$10)</f>
        <v>2176.854629554563</v>
      </c>
      <c r="C63" s="134"/>
      <c r="D63" s="135"/>
      <c r="E63" s="136"/>
      <c r="F63" s="137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</row>
    <row r="64" spans="1:31" ht="15.75" thickBot="1" x14ac:dyDescent="0.3">
      <c r="A64" s="1" t="s">
        <v>119</v>
      </c>
      <c r="B64" s="68">
        <f>+B62-B63</f>
        <v>1674.0997796946313</v>
      </c>
      <c r="C64" s="134"/>
      <c r="D64" s="135"/>
      <c r="E64" s="136"/>
      <c r="F64" s="137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</row>
    <row r="65" spans="1:31" ht="16.5" thickTop="1" thickBot="1" x14ac:dyDescent="0.3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</row>
    <row r="66" spans="1:31" ht="15.75" thickTop="1" x14ac:dyDescent="0.25">
      <c r="A66" s="71" t="str">
        <f>+A2</f>
        <v>Option 4:  750 MW in 2027 and 750 MW in 2029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</row>
    <row r="67" spans="1:31" x14ac:dyDescent="0.25">
      <c r="A67" s="73" t="s">
        <v>72</v>
      </c>
      <c r="B67" s="74" t="str">
        <f>+Overview!D10</f>
        <v>Step Change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</row>
    <row r="68" spans="1:31" x14ac:dyDescent="0.25">
      <c r="A68" s="2" t="s">
        <v>34</v>
      </c>
      <c r="B68" s="1">
        <v>0</v>
      </c>
      <c r="C68" s="1">
        <f>+B68+1</f>
        <v>1</v>
      </c>
      <c r="D68" s="1">
        <f t="shared" ref="D68:AE68" si="31">+C68+1</f>
        <v>2</v>
      </c>
      <c r="E68" s="1">
        <f t="shared" si="31"/>
        <v>3</v>
      </c>
      <c r="F68" s="1">
        <f t="shared" si="31"/>
        <v>4</v>
      </c>
      <c r="G68" s="1">
        <f t="shared" si="31"/>
        <v>5</v>
      </c>
      <c r="H68" s="8">
        <f t="shared" si="31"/>
        <v>6</v>
      </c>
      <c r="I68" s="1">
        <f t="shared" si="31"/>
        <v>7</v>
      </c>
      <c r="J68" s="1">
        <f t="shared" si="31"/>
        <v>8</v>
      </c>
      <c r="K68" s="1">
        <f t="shared" si="31"/>
        <v>9</v>
      </c>
      <c r="L68" s="1">
        <f t="shared" si="31"/>
        <v>10</v>
      </c>
      <c r="M68" s="1">
        <f t="shared" si="31"/>
        <v>11</v>
      </c>
      <c r="N68" s="1">
        <f t="shared" si="31"/>
        <v>12</v>
      </c>
      <c r="O68" s="1">
        <f t="shared" si="31"/>
        <v>13</v>
      </c>
      <c r="P68" s="1">
        <f t="shared" si="31"/>
        <v>14</v>
      </c>
      <c r="Q68" s="1">
        <f t="shared" si="31"/>
        <v>15</v>
      </c>
      <c r="R68" s="1">
        <f t="shared" si="31"/>
        <v>16</v>
      </c>
      <c r="S68" s="1">
        <f t="shared" si="31"/>
        <v>17</v>
      </c>
      <c r="T68" s="1">
        <f t="shared" si="31"/>
        <v>18</v>
      </c>
      <c r="U68" s="1">
        <f t="shared" si="31"/>
        <v>19</v>
      </c>
      <c r="V68" s="1">
        <f t="shared" si="31"/>
        <v>20</v>
      </c>
      <c r="W68" s="1">
        <f t="shared" si="31"/>
        <v>21</v>
      </c>
      <c r="X68" s="1">
        <f t="shared" si="31"/>
        <v>22</v>
      </c>
      <c r="Y68" s="1">
        <f t="shared" si="31"/>
        <v>23</v>
      </c>
      <c r="Z68" s="1">
        <f t="shared" si="31"/>
        <v>24</v>
      </c>
      <c r="AA68" s="1">
        <f t="shared" si="31"/>
        <v>25</v>
      </c>
      <c r="AB68" s="1">
        <f t="shared" si="31"/>
        <v>26</v>
      </c>
      <c r="AC68" s="1">
        <f t="shared" si="31"/>
        <v>27</v>
      </c>
      <c r="AD68" s="1">
        <f t="shared" si="31"/>
        <v>28</v>
      </c>
      <c r="AE68" s="1">
        <f t="shared" si="31"/>
        <v>29</v>
      </c>
    </row>
    <row r="69" spans="1:31" x14ac:dyDescent="0.25">
      <c r="A69" t="s">
        <v>35</v>
      </c>
      <c r="B69" s="4">
        <v>1</v>
      </c>
      <c r="C69" s="4">
        <f t="shared" ref="C69:AE69" si="32">1/((1+NotSlowWACC)^((C70-$B$10)/365))</f>
        <v>0.95419847328244267</v>
      </c>
      <c r="D69" s="4">
        <f t="shared" si="32"/>
        <v>0.91049472641454443</v>
      </c>
      <c r="E69" s="4">
        <f t="shared" si="32"/>
        <v>0.86879267787647374</v>
      </c>
      <c r="F69" s="4">
        <f t="shared" si="32"/>
        <v>0.82889417004246191</v>
      </c>
      <c r="G69" s="4">
        <f t="shared" si="32"/>
        <v>0.79092955156723455</v>
      </c>
      <c r="H69" s="4">
        <f t="shared" si="32"/>
        <v>0.75470377057942228</v>
      </c>
      <c r="I69" s="4">
        <f t="shared" si="32"/>
        <v>0.7201371856673876</v>
      </c>
      <c r="J69" s="4">
        <f t="shared" si="32"/>
        <v>0.68706554513038165</v>
      </c>
      <c r="K69" s="4">
        <f t="shared" si="32"/>
        <v>0.65559689420837941</v>
      </c>
      <c r="L69" s="4">
        <f t="shared" si="32"/>
        <v>0.62556955554234672</v>
      </c>
      <c r="M69" s="4">
        <f t="shared" si="32"/>
        <v>0.5969175148304835</v>
      </c>
      <c r="N69" s="4">
        <f t="shared" si="32"/>
        <v>0.56950462479561925</v>
      </c>
      <c r="O69" s="4">
        <f t="shared" si="32"/>
        <v>0.54342044350727026</v>
      </c>
      <c r="P69" s="4">
        <f t="shared" si="32"/>
        <v>0.51853095754510525</v>
      </c>
      <c r="Q69" s="4">
        <f t="shared" si="32"/>
        <v>0.49478144803922253</v>
      </c>
      <c r="R69" s="4">
        <f t="shared" si="32"/>
        <v>0.47205906330530845</v>
      </c>
      <c r="S69" s="4">
        <f t="shared" si="32"/>
        <v>0.45043803750506534</v>
      </c>
      <c r="T69" s="4">
        <f t="shared" si="32"/>
        <v>0.429807287695673</v>
      </c>
      <c r="U69" s="4">
        <f t="shared" si="32"/>
        <v>0.41012145772487879</v>
      </c>
      <c r="V69" s="4">
        <f t="shared" si="32"/>
        <v>0.39128700548947559</v>
      </c>
      <c r="W69" s="4">
        <f t="shared" si="32"/>
        <v>0.37336546325331643</v>
      </c>
      <c r="X69" s="4">
        <f t="shared" si="32"/>
        <v>0.35626475501270649</v>
      </c>
      <c r="Y69" s="4">
        <f t="shared" si="32"/>
        <v>0.33994728531746798</v>
      </c>
      <c r="Z69" s="4">
        <f t="shared" si="32"/>
        <v>0.32433551766359908</v>
      </c>
      <c r="AA69" s="4">
        <f t="shared" si="32"/>
        <v>0.30948045578587696</v>
      </c>
      <c r="AB69" s="4">
        <f t="shared" si="32"/>
        <v>0.29530577842163835</v>
      </c>
      <c r="AC69" s="4">
        <f t="shared" si="32"/>
        <v>0.28178032292141064</v>
      </c>
      <c r="AD69" s="4">
        <f t="shared" si="32"/>
        <v>0.26883981972906118</v>
      </c>
      <c r="AE69" s="4">
        <f t="shared" si="32"/>
        <v>0.25652654554299731</v>
      </c>
    </row>
    <row r="70" spans="1:31" x14ac:dyDescent="0.25">
      <c r="A70" s="5" t="s">
        <v>70</v>
      </c>
      <c r="B70" s="6">
        <f>+B55</f>
        <v>44013</v>
      </c>
      <c r="C70" s="6">
        <f t="shared" ref="C70:AE71" si="33">+C55</f>
        <v>44378</v>
      </c>
      <c r="D70" s="6">
        <f t="shared" si="33"/>
        <v>44743</v>
      </c>
      <c r="E70" s="6">
        <f t="shared" si="33"/>
        <v>45108</v>
      </c>
      <c r="F70" s="6">
        <f t="shared" si="33"/>
        <v>45474</v>
      </c>
      <c r="G70" s="6">
        <f t="shared" si="33"/>
        <v>45839</v>
      </c>
      <c r="H70" s="6">
        <f t="shared" si="33"/>
        <v>46204</v>
      </c>
      <c r="I70" s="6">
        <f t="shared" si="33"/>
        <v>46569</v>
      </c>
      <c r="J70" s="6">
        <f t="shared" si="33"/>
        <v>46935</v>
      </c>
      <c r="K70" s="6">
        <f t="shared" si="33"/>
        <v>47300</v>
      </c>
      <c r="L70" s="6">
        <f t="shared" si="33"/>
        <v>47665</v>
      </c>
      <c r="M70" s="6">
        <f t="shared" si="33"/>
        <v>48030</v>
      </c>
      <c r="N70" s="6">
        <f t="shared" si="33"/>
        <v>48396</v>
      </c>
      <c r="O70" s="6">
        <f t="shared" si="33"/>
        <v>48761</v>
      </c>
      <c r="P70" s="6">
        <f t="shared" si="33"/>
        <v>49126</v>
      </c>
      <c r="Q70" s="6">
        <f t="shared" si="33"/>
        <v>49491</v>
      </c>
      <c r="R70" s="6">
        <f t="shared" si="33"/>
        <v>49857</v>
      </c>
      <c r="S70" s="6">
        <f t="shared" si="33"/>
        <v>50222</v>
      </c>
      <c r="T70" s="6">
        <f t="shared" si="33"/>
        <v>50587</v>
      </c>
      <c r="U70" s="6">
        <f t="shared" si="33"/>
        <v>50952</v>
      </c>
      <c r="V70" s="6">
        <f t="shared" si="33"/>
        <v>51318</v>
      </c>
      <c r="W70" s="6">
        <f t="shared" si="33"/>
        <v>51683</v>
      </c>
      <c r="X70" s="6">
        <f t="shared" si="33"/>
        <v>52048</v>
      </c>
      <c r="Y70" s="6">
        <f t="shared" si="33"/>
        <v>52413</v>
      </c>
      <c r="Z70" s="6">
        <f t="shared" si="33"/>
        <v>52779</v>
      </c>
      <c r="AA70" s="6">
        <f t="shared" si="33"/>
        <v>53144</v>
      </c>
      <c r="AB70" s="6">
        <f t="shared" si="33"/>
        <v>53509</v>
      </c>
      <c r="AC70" s="6">
        <f t="shared" si="33"/>
        <v>53874</v>
      </c>
      <c r="AD70" s="6">
        <f t="shared" si="33"/>
        <v>54240</v>
      </c>
      <c r="AE70" s="6">
        <f t="shared" si="33"/>
        <v>54605</v>
      </c>
    </row>
    <row r="71" spans="1:31" x14ac:dyDescent="0.25">
      <c r="A71" s="179" t="s">
        <v>39</v>
      </c>
      <c r="B71" s="180" t="str">
        <f>+B56</f>
        <v>2020-21</v>
      </c>
      <c r="C71" s="180" t="str">
        <f t="shared" si="33"/>
        <v>2021-22</v>
      </c>
      <c r="D71" s="180" t="str">
        <f t="shared" si="33"/>
        <v>2022-23</v>
      </c>
      <c r="E71" s="180" t="str">
        <f t="shared" si="33"/>
        <v>2023-24</v>
      </c>
      <c r="F71" s="180" t="str">
        <f t="shared" si="33"/>
        <v>2024-25</v>
      </c>
      <c r="G71" s="180" t="str">
        <f t="shared" si="33"/>
        <v>2025-26</v>
      </c>
      <c r="H71" s="180" t="str">
        <f t="shared" si="33"/>
        <v>2026-27</v>
      </c>
      <c r="I71" s="180" t="str">
        <f t="shared" si="33"/>
        <v>2027-28</v>
      </c>
      <c r="J71" s="180" t="str">
        <f t="shared" si="33"/>
        <v>2028-29</v>
      </c>
      <c r="K71" s="180" t="str">
        <f t="shared" si="33"/>
        <v>2029-30</v>
      </c>
      <c r="L71" s="180" t="str">
        <f t="shared" si="33"/>
        <v>2030-31</v>
      </c>
      <c r="M71" s="180" t="str">
        <f t="shared" si="33"/>
        <v>2031-32</v>
      </c>
      <c r="N71" s="180" t="str">
        <f t="shared" si="33"/>
        <v>2032-33</v>
      </c>
      <c r="O71" s="180" t="str">
        <f t="shared" si="33"/>
        <v>2033-34</v>
      </c>
      <c r="P71" s="180" t="str">
        <f t="shared" si="33"/>
        <v>2034-35</v>
      </c>
      <c r="Q71" s="180" t="str">
        <f t="shared" si="33"/>
        <v>2035-36</v>
      </c>
      <c r="R71" s="180" t="str">
        <f t="shared" si="33"/>
        <v>2036-37</v>
      </c>
      <c r="S71" s="180" t="str">
        <f t="shared" si="33"/>
        <v>2037-38</v>
      </c>
      <c r="T71" s="180" t="str">
        <f t="shared" si="33"/>
        <v>2038-39</v>
      </c>
      <c r="U71" s="180" t="str">
        <f t="shared" si="33"/>
        <v>2039-40</v>
      </c>
      <c r="V71" s="180" t="str">
        <f t="shared" si="33"/>
        <v>2040-41</v>
      </c>
      <c r="W71" s="180" t="str">
        <f t="shared" si="33"/>
        <v>2041-42</v>
      </c>
      <c r="X71" s="180" t="str">
        <f t="shared" si="33"/>
        <v>2042-43</v>
      </c>
      <c r="Y71" s="180" t="str">
        <f t="shared" si="33"/>
        <v>2043-44</v>
      </c>
      <c r="Z71" s="180" t="str">
        <f t="shared" si="33"/>
        <v>2044-45</v>
      </c>
      <c r="AA71" s="180" t="str">
        <f t="shared" si="33"/>
        <v>2045-46</v>
      </c>
      <c r="AB71" s="180" t="str">
        <f t="shared" si="33"/>
        <v>2046-47</v>
      </c>
      <c r="AC71" s="180" t="str">
        <f t="shared" si="33"/>
        <v>2047-48</v>
      </c>
      <c r="AD71" s="180" t="str">
        <f t="shared" si="33"/>
        <v>2048-49</v>
      </c>
      <c r="AE71" s="180" t="str">
        <f t="shared" si="33"/>
        <v>2049-50</v>
      </c>
    </row>
    <row r="72" spans="1:31" x14ac:dyDescent="0.25">
      <c r="A72" s="52" t="str">
        <f>+A57</f>
        <v>Market benefits (PV at 2020)</v>
      </c>
      <c r="B72" s="77">
        <v>0</v>
      </c>
      <c r="C72" s="77">
        <v>42.116272862526131</v>
      </c>
      <c r="D72" s="77">
        <v>44.520600371606548</v>
      </c>
      <c r="E72" s="77">
        <v>56.935983488003103</v>
      </c>
      <c r="F72" s="77">
        <v>77.22130113646233</v>
      </c>
      <c r="G72" s="77">
        <v>99.913630232456725</v>
      </c>
      <c r="H72" s="77">
        <v>29.199430171176555</v>
      </c>
      <c r="I72" s="77">
        <v>124.24711246028211</v>
      </c>
      <c r="J72" s="77">
        <v>135.00807731175522</v>
      </c>
      <c r="K72" s="77">
        <v>102.51547971202963</v>
      </c>
      <c r="L72" s="77">
        <v>113.87198157986458</v>
      </c>
      <c r="M72" s="77">
        <v>169.59639931971304</v>
      </c>
      <c r="N72" s="77">
        <v>202.74780497510119</v>
      </c>
      <c r="O72" s="77">
        <v>218.6795581770694</v>
      </c>
      <c r="P72" s="77">
        <v>240.78568114585187</v>
      </c>
      <c r="Q72" s="77">
        <v>268.17158925988679</v>
      </c>
      <c r="R72" s="77">
        <v>265.20691275465634</v>
      </c>
      <c r="S72" s="77">
        <v>286.13476003235576</v>
      </c>
      <c r="T72" s="77">
        <v>310.67073857618863</v>
      </c>
      <c r="U72" s="77">
        <v>262.19751752273328</v>
      </c>
      <c r="V72" s="77">
        <v>282.84182718132075</v>
      </c>
      <c r="W72" s="77">
        <v>241.46015899952019</v>
      </c>
      <c r="X72" s="77">
        <v>313.90780013754244</v>
      </c>
      <c r="Y72" s="77">
        <v>304.15999467926827</v>
      </c>
      <c r="Z72" s="77">
        <v>296.97108158737007</v>
      </c>
      <c r="AA72" s="77">
        <v>281.00705619024404</v>
      </c>
      <c r="AB72" s="77">
        <v>276.6295374797059</v>
      </c>
      <c r="AC72" s="77">
        <v>247.80367337655267</v>
      </c>
      <c r="AD72" s="77">
        <v>191.73281912090738</v>
      </c>
      <c r="AE72" s="77">
        <v>168.84263846242922</v>
      </c>
    </row>
    <row r="73" spans="1:31" x14ac:dyDescent="0.25">
      <c r="A73" s="48" t="s">
        <v>42</v>
      </c>
      <c r="B73" s="49">
        <f t="shared" ref="B73:AE73" si="34">+B72/B69</f>
        <v>0</v>
      </c>
      <c r="C73" s="49">
        <f t="shared" si="34"/>
        <v>44.137853959927391</v>
      </c>
      <c r="D73" s="49">
        <f t="shared" si="34"/>
        <v>48.897153470536971</v>
      </c>
      <c r="E73" s="49">
        <f t="shared" si="34"/>
        <v>65.534603292430546</v>
      </c>
      <c r="F73" s="49">
        <f t="shared" si="34"/>
        <v>93.161834076485903</v>
      </c>
      <c r="G73" s="49">
        <f t="shared" si="34"/>
        <v>126.32431047047983</v>
      </c>
      <c r="H73" s="49">
        <f t="shared" si="34"/>
        <v>38.689922204521054</v>
      </c>
      <c r="I73" s="49">
        <f t="shared" si="34"/>
        <v>172.53256036922468</v>
      </c>
      <c r="J73" s="49">
        <f t="shared" si="34"/>
        <v>196.4995600036024</v>
      </c>
      <c r="K73" s="49">
        <f t="shared" si="34"/>
        <v>156.36968481343263</v>
      </c>
      <c r="L73" s="49">
        <f t="shared" si="34"/>
        <v>182.02928926287277</v>
      </c>
      <c r="M73" s="49">
        <f t="shared" si="34"/>
        <v>284.12032668848076</v>
      </c>
      <c r="N73" s="49">
        <f t="shared" si="34"/>
        <v>356.00730204405664</v>
      </c>
      <c r="O73" s="49">
        <f t="shared" si="34"/>
        <v>402.41319734991487</v>
      </c>
      <c r="P73" s="49">
        <f t="shared" si="34"/>
        <v>464.36124524909729</v>
      </c>
      <c r="Q73" s="49">
        <f t="shared" si="34"/>
        <v>542.00008978232381</v>
      </c>
      <c r="R73" s="49">
        <f t="shared" si="34"/>
        <v>561.80875100184528</v>
      </c>
      <c r="S73" s="49">
        <f t="shared" si="34"/>
        <v>635.23667232285652</v>
      </c>
      <c r="T73" s="49">
        <f t="shared" si="34"/>
        <v>722.81403193926405</v>
      </c>
      <c r="U73" s="49">
        <f t="shared" si="34"/>
        <v>639.31675015800533</v>
      </c>
      <c r="V73" s="49">
        <f t="shared" si="34"/>
        <v>722.85003900782067</v>
      </c>
      <c r="W73" s="49">
        <f t="shared" si="34"/>
        <v>646.71262546771027</v>
      </c>
      <c r="X73" s="49">
        <f t="shared" si="34"/>
        <v>881.10820877116134</v>
      </c>
      <c r="Y73" s="49">
        <f t="shared" si="34"/>
        <v>894.7269409585698</v>
      </c>
      <c r="Z73" s="49">
        <f t="shared" si="34"/>
        <v>915.62923396933843</v>
      </c>
      <c r="AA73" s="49">
        <f t="shared" si="34"/>
        <v>907.99613008411404</v>
      </c>
      <c r="AB73" s="49">
        <f t="shared" si="34"/>
        <v>936.75626314610588</v>
      </c>
      <c r="AC73" s="49">
        <f t="shared" si="34"/>
        <v>879.4214968859477</v>
      </c>
      <c r="AD73" s="49">
        <f t="shared" si="34"/>
        <v>713.18608721779822</v>
      </c>
      <c r="AE73" s="49">
        <f t="shared" si="34"/>
        <v>658.18778366595564</v>
      </c>
    </row>
    <row r="74" spans="1:31" x14ac:dyDescent="0.25">
      <c r="A74" s="50" t="s">
        <v>40</v>
      </c>
      <c r="B74" s="51">
        <f t="shared" ref="B74:H74" si="35">+B59</f>
        <v>0</v>
      </c>
      <c r="C74" s="51">
        <f t="shared" si="35"/>
        <v>0</v>
      </c>
      <c r="D74" s="51">
        <f t="shared" si="35"/>
        <v>0</v>
      </c>
      <c r="E74" s="51">
        <f t="shared" si="35"/>
        <v>0</v>
      </c>
      <c r="F74" s="51">
        <f t="shared" si="35"/>
        <v>0</v>
      </c>
      <c r="G74" s="51">
        <f t="shared" si="35"/>
        <v>0</v>
      </c>
      <c r="H74" s="51">
        <f t="shared" si="35"/>
        <v>0</v>
      </c>
      <c r="I74" s="51">
        <f>+I59</f>
        <v>15.788363499540408</v>
      </c>
      <c r="J74" s="51">
        <f t="shared" ref="J74:AE74" si="36">+J59</f>
        <v>15.876122651112929</v>
      </c>
      <c r="K74" s="51">
        <f t="shared" si="36"/>
        <v>15.961779131322926</v>
      </c>
      <c r="L74" s="51">
        <f t="shared" si="36"/>
        <v>16.048292176335021</v>
      </c>
      <c r="M74" s="51">
        <f t="shared" si="36"/>
        <v>16.135670351797238</v>
      </c>
      <c r="N74" s="51">
        <f t="shared" si="36"/>
        <v>16.223922309014075</v>
      </c>
      <c r="O74" s="51">
        <f t="shared" si="36"/>
        <v>16.313056785803084</v>
      </c>
      <c r="P74" s="51">
        <f t="shared" si="36"/>
        <v>16.40308260735998</v>
      </c>
      <c r="Q74" s="51">
        <f t="shared" si="36"/>
        <v>16.49400868713245</v>
      </c>
      <c r="R74" s="51">
        <f t="shared" si="36"/>
        <v>16.585844027702642</v>
      </c>
      <c r="S74" s="51">
        <f t="shared" si="36"/>
        <v>16.678597721678535</v>
      </c>
      <c r="T74" s="51">
        <f t="shared" si="36"/>
        <v>16.772278952594188</v>
      </c>
      <c r="U74" s="51">
        <f t="shared" si="36"/>
        <v>16.866896995818998</v>
      </c>
      <c r="V74" s="51">
        <f t="shared" si="36"/>
        <v>16.962461219476054</v>
      </c>
      <c r="W74" s="51">
        <f t="shared" si="36"/>
        <v>17.058981085369684</v>
      </c>
      <c r="X74" s="51">
        <f t="shared" si="36"/>
        <v>17.156466149922252</v>
      </c>
      <c r="Y74" s="51">
        <f t="shared" si="36"/>
        <v>17.25492606512034</v>
      </c>
      <c r="Z74" s="51">
        <f t="shared" si="36"/>
        <v>17.354370579470412</v>
      </c>
      <c r="AA74" s="51">
        <f t="shared" si="36"/>
        <v>17.454809538963978</v>
      </c>
      <c r="AB74" s="51">
        <f t="shared" si="36"/>
        <v>17.556252888052487</v>
      </c>
      <c r="AC74" s="51">
        <f t="shared" si="36"/>
        <v>17.658710670631876</v>
      </c>
      <c r="AD74" s="51">
        <f t="shared" si="36"/>
        <v>17.762193031037071</v>
      </c>
      <c r="AE74" s="51">
        <f t="shared" si="36"/>
        <v>17.866710215046304</v>
      </c>
    </row>
    <row r="75" spans="1:31" x14ac:dyDescent="0.25">
      <c r="A75" s="46" t="s">
        <v>41</v>
      </c>
      <c r="B75" s="47">
        <f>+B74+B73</f>
        <v>0</v>
      </c>
      <c r="C75" s="47">
        <f t="shared" ref="C75:AE75" si="37">+C74+C73</f>
        <v>44.137853959927391</v>
      </c>
      <c r="D75" s="47">
        <f t="shared" si="37"/>
        <v>48.897153470536971</v>
      </c>
      <c r="E75" s="47">
        <f t="shared" si="37"/>
        <v>65.534603292430546</v>
      </c>
      <c r="F75" s="47">
        <f t="shared" si="37"/>
        <v>93.161834076485903</v>
      </c>
      <c r="G75" s="47">
        <f t="shared" si="37"/>
        <v>126.32431047047983</v>
      </c>
      <c r="H75" s="47">
        <f t="shared" si="37"/>
        <v>38.689922204521054</v>
      </c>
      <c r="I75" s="47">
        <f t="shared" si="37"/>
        <v>188.32092386876508</v>
      </c>
      <c r="J75" s="47">
        <f t="shared" si="37"/>
        <v>212.37568265471532</v>
      </c>
      <c r="K75" s="47">
        <f t="shared" si="37"/>
        <v>172.33146394475554</v>
      </c>
      <c r="L75" s="47">
        <f t="shared" si="37"/>
        <v>198.07758143920779</v>
      </c>
      <c r="M75" s="47">
        <f t="shared" si="37"/>
        <v>300.25599704027798</v>
      </c>
      <c r="N75" s="47">
        <f t="shared" si="37"/>
        <v>372.23122435307073</v>
      </c>
      <c r="O75" s="47">
        <f t="shared" si="37"/>
        <v>418.72625413571797</v>
      </c>
      <c r="P75" s="47">
        <f t="shared" si="37"/>
        <v>480.76432785645727</v>
      </c>
      <c r="Q75" s="47">
        <f t="shared" si="37"/>
        <v>558.49409846945628</v>
      </c>
      <c r="R75" s="47">
        <f t="shared" si="37"/>
        <v>578.39459502954787</v>
      </c>
      <c r="S75" s="47">
        <f t="shared" si="37"/>
        <v>651.91527004453508</v>
      </c>
      <c r="T75" s="47">
        <f t="shared" si="37"/>
        <v>739.58631089185826</v>
      </c>
      <c r="U75" s="47">
        <f t="shared" si="37"/>
        <v>656.18364715382438</v>
      </c>
      <c r="V75" s="47">
        <f t="shared" si="37"/>
        <v>739.81250022729671</v>
      </c>
      <c r="W75" s="47">
        <f t="shared" si="37"/>
        <v>663.77160655308001</v>
      </c>
      <c r="X75" s="47">
        <f t="shared" si="37"/>
        <v>898.26467492108361</v>
      </c>
      <c r="Y75" s="47">
        <f t="shared" si="37"/>
        <v>911.98186702369014</v>
      </c>
      <c r="Z75" s="47">
        <f t="shared" si="37"/>
        <v>932.9836045488089</v>
      </c>
      <c r="AA75" s="47">
        <f t="shared" si="37"/>
        <v>925.45093962307806</v>
      </c>
      <c r="AB75" s="47">
        <f t="shared" si="37"/>
        <v>954.31251603415842</v>
      </c>
      <c r="AC75" s="47">
        <f t="shared" si="37"/>
        <v>897.08020755657958</v>
      </c>
      <c r="AD75" s="47">
        <f t="shared" si="37"/>
        <v>730.94828024883532</v>
      </c>
      <c r="AE75" s="47">
        <f t="shared" si="37"/>
        <v>676.05449388100192</v>
      </c>
    </row>
    <row r="76" spans="1:31" x14ac:dyDescent="0.25">
      <c r="A76" s="53" t="s">
        <v>67</v>
      </c>
      <c r="B76" s="181">
        <v>0</v>
      </c>
      <c r="C76" s="181">
        <v>0</v>
      </c>
      <c r="D76" s="181">
        <v>0</v>
      </c>
      <c r="E76" s="181">
        <v>0</v>
      </c>
      <c r="F76" s="181">
        <v>0</v>
      </c>
      <c r="G76" s="181">
        <v>0</v>
      </c>
      <c r="H76" s="181">
        <v>0</v>
      </c>
      <c r="I76" s="181">
        <f>+I61</f>
        <v>138.00248418002869</v>
      </c>
      <c r="J76" s="181">
        <f>+J61</f>
        <v>138.00248418002869</v>
      </c>
      <c r="K76" s="181">
        <f t="shared" ref="K76:AE76" si="38">+K61</f>
        <v>221.18291467967254</v>
      </c>
      <c r="L76" s="181">
        <f t="shared" si="38"/>
        <v>221.18291467967254</v>
      </c>
      <c r="M76" s="181">
        <f t="shared" si="38"/>
        <v>221.18291467967254</v>
      </c>
      <c r="N76" s="181">
        <f t="shared" si="38"/>
        <v>221.18291467967254</v>
      </c>
      <c r="O76" s="181">
        <f t="shared" si="38"/>
        <v>221.18291467967254</v>
      </c>
      <c r="P76" s="181">
        <f t="shared" si="38"/>
        <v>221.18291467967254</v>
      </c>
      <c r="Q76" s="181">
        <f t="shared" si="38"/>
        <v>221.18291467967254</v>
      </c>
      <c r="R76" s="181">
        <f t="shared" si="38"/>
        <v>221.18291467967254</v>
      </c>
      <c r="S76" s="181">
        <f t="shared" si="38"/>
        <v>221.18291467967254</v>
      </c>
      <c r="T76" s="181">
        <f t="shared" si="38"/>
        <v>221.18291467967254</v>
      </c>
      <c r="U76" s="181">
        <f t="shared" si="38"/>
        <v>221.18291467967254</v>
      </c>
      <c r="V76" s="181">
        <f t="shared" si="38"/>
        <v>221.18291467967254</v>
      </c>
      <c r="W76" s="181">
        <f t="shared" si="38"/>
        <v>221.18291467967254</v>
      </c>
      <c r="X76" s="181">
        <f t="shared" si="38"/>
        <v>221.18291467967254</v>
      </c>
      <c r="Y76" s="181">
        <f t="shared" si="38"/>
        <v>221.18291467967254</v>
      </c>
      <c r="Z76" s="181">
        <f t="shared" si="38"/>
        <v>221.18291467967254</v>
      </c>
      <c r="AA76" s="181">
        <f t="shared" si="38"/>
        <v>221.18291467967254</v>
      </c>
      <c r="AB76" s="181">
        <f t="shared" si="38"/>
        <v>221.18291467967254</v>
      </c>
      <c r="AC76" s="181">
        <f t="shared" si="38"/>
        <v>221.18291467967254</v>
      </c>
      <c r="AD76" s="181">
        <f t="shared" si="38"/>
        <v>221.18291467967254</v>
      </c>
      <c r="AE76" s="181">
        <f t="shared" si="38"/>
        <v>221.18291467967254</v>
      </c>
    </row>
    <row r="77" spans="1:31" x14ac:dyDescent="0.25">
      <c r="A77" t="s">
        <v>68</v>
      </c>
      <c r="B77" s="43">
        <f>XNPV(NotSlowWACC,B75:AE75,$B$10:$AE$10)</f>
        <v>5827.2838088424242</v>
      </c>
      <c r="C77" s="134"/>
      <c r="D77" s="135"/>
      <c r="E77" s="136"/>
      <c r="F77" s="137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</row>
    <row r="78" spans="1:31" x14ac:dyDescent="0.25">
      <c r="A78" t="s">
        <v>69</v>
      </c>
      <c r="B78" s="43">
        <f>XNPV(NotSlowWACC,B76:AE76,$B$10:$AE$10)</f>
        <v>2176.854629554563</v>
      </c>
      <c r="C78" s="134"/>
      <c r="D78" s="135"/>
      <c r="E78" s="136"/>
      <c r="F78" s="137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</row>
    <row r="79" spans="1:31" ht="15.75" thickBot="1" x14ac:dyDescent="0.3">
      <c r="A79" s="1" t="s">
        <v>119</v>
      </c>
      <c r="B79" s="68">
        <f>+B77-B78</f>
        <v>3650.4291792878612</v>
      </c>
      <c r="C79" s="134"/>
      <c r="D79" s="135"/>
      <c r="E79" s="136"/>
      <c r="F79" s="137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</row>
    <row r="80" spans="1:31" ht="15.75" thickTop="1" x14ac:dyDescent="0.25"/>
    <row r="81" spans="1:31" ht="15.75" thickBot="1" x14ac:dyDescent="0.3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</row>
    <row r="82" spans="1:31" ht="21" x14ac:dyDescent="0.35">
      <c r="A82" s="187" t="s">
        <v>132</v>
      </c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</row>
    <row r="83" spans="1:31" ht="19.5" thickBot="1" x14ac:dyDescent="0.35">
      <c r="A83" s="214" t="s">
        <v>153</v>
      </c>
      <c r="B83" s="21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</row>
    <row r="84" spans="1:31" ht="15.75" thickTop="1" x14ac:dyDescent="0.25">
      <c r="A84" s="71" t="str">
        <f>A6</f>
        <v>Option 4:  750 MW in 2027 and 750 MW in 2029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</row>
    <row r="85" spans="1:31" x14ac:dyDescent="0.25">
      <c r="A85" s="210" t="str">
        <f>A7</f>
        <v xml:space="preserve">Scenario: </v>
      </c>
      <c r="B85" s="211" t="s">
        <v>100</v>
      </c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3"/>
    </row>
    <row r="86" spans="1:31" x14ac:dyDescent="0.25">
      <c r="B86" s="159">
        <v>1</v>
      </c>
      <c r="C86" s="159">
        <v>1</v>
      </c>
      <c r="D86" s="159">
        <v>1</v>
      </c>
      <c r="E86" s="159">
        <v>1</v>
      </c>
      <c r="F86" s="159">
        <v>1</v>
      </c>
      <c r="G86" s="159">
        <v>1</v>
      </c>
      <c r="H86" s="159">
        <v>1</v>
      </c>
      <c r="I86" s="159">
        <v>1</v>
      </c>
      <c r="J86" s="159">
        <v>1</v>
      </c>
      <c r="K86" s="159">
        <v>1</v>
      </c>
      <c r="L86" s="159">
        <v>1</v>
      </c>
      <c r="M86" s="159">
        <v>1</v>
      </c>
      <c r="N86" s="159">
        <v>1</v>
      </c>
      <c r="O86" s="159">
        <v>1</v>
      </c>
      <c r="P86" s="159">
        <v>1</v>
      </c>
      <c r="Q86" s="159">
        <v>1</v>
      </c>
      <c r="R86" s="159">
        <v>1</v>
      </c>
      <c r="S86" s="159">
        <v>1</v>
      </c>
      <c r="T86" s="159">
        <v>1</v>
      </c>
      <c r="U86" s="159">
        <v>1</v>
      </c>
      <c r="V86" s="159">
        <v>1</v>
      </c>
      <c r="W86" s="159">
        <v>1</v>
      </c>
      <c r="X86" s="159">
        <v>1</v>
      </c>
      <c r="Y86" s="159">
        <v>1</v>
      </c>
      <c r="Z86" s="159">
        <v>1</v>
      </c>
      <c r="AA86" s="159">
        <v>1</v>
      </c>
      <c r="AB86" s="159">
        <v>1</v>
      </c>
      <c r="AC86" s="159">
        <v>1</v>
      </c>
      <c r="AD86" s="159">
        <v>1</v>
      </c>
      <c r="AE86" s="159">
        <v>1</v>
      </c>
    </row>
    <row r="87" spans="1:31" x14ac:dyDescent="0.25">
      <c r="A87" s="179" t="s">
        <v>39</v>
      </c>
      <c r="B87" s="180" t="str">
        <f>+B71</f>
        <v>2020-21</v>
      </c>
      <c r="C87" s="180" t="str">
        <f t="shared" ref="C87:AE87" si="39">+C71</f>
        <v>2021-22</v>
      </c>
      <c r="D87" s="180" t="str">
        <f t="shared" si="39"/>
        <v>2022-23</v>
      </c>
      <c r="E87" s="180" t="str">
        <f t="shared" si="39"/>
        <v>2023-24</v>
      </c>
      <c r="F87" s="180" t="str">
        <f t="shared" si="39"/>
        <v>2024-25</v>
      </c>
      <c r="G87" s="180" t="str">
        <f t="shared" si="39"/>
        <v>2025-26</v>
      </c>
      <c r="H87" s="180" t="str">
        <f t="shared" si="39"/>
        <v>2026-27</v>
      </c>
      <c r="I87" s="180" t="str">
        <f t="shared" si="39"/>
        <v>2027-28</v>
      </c>
      <c r="J87" s="180" t="str">
        <f t="shared" si="39"/>
        <v>2028-29</v>
      </c>
      <c r="K87" s="180" t="str">
        <f t="shared" si="39"/>
        <v>2029-30</v>
      </c>
      <c r="L87" s="180" t="str">
        <f t="shared" si="39"/>
        <v>2030-31</v>
      </c>
      <c r="M87" s="180" t="str">
        <f t="shared" si="39"/>
        <v>2031-32</v>
      </c>
      <c r="N87" s="180" t="str">
        <f t="shared" si="39"/>
        <v>2032-33</v>
      </c>
      <c r="O87" s="180" t="str">
        <f t="shared" si="39"/>
        <v>2033-34</v>
      </c>
      <c r="P87" s="180" t="str">
        <f t="shared" si="39"/>
        <v>2034-35</v>
      </c>
      <c r="Q87" s="180" t="str">
        <f t="shared" si="39"/>
        <v>2035-36</v>
      </c>
      <c r="R87" s="180" t="str">
        <f t="shared" si="39"/>
        <v>2036-37</v>
      </c>
      <c r="S87" s="180" t="str">
        <f t="shared" si="39"/>
        <v>2037-38</v>
      </c>
      <c r="T87" s="180" t="str">
        <f t="shared" si="39"/>
        <v>2038-39</v>
      </c>
      <c r="U87" s="180" t="str">
        <f t="shared" si="39"/>
        <v>2039-40</v>
      </c>
      <c r="V87" s="180" t="str">
        <f t="shared" si="39"/>
        <v>2040-41</v>
      </c>
      <c r="W87" s="180" t="str">
        <f t="shared" si="39"/>
        <v>2041-42</v>
      </c>
      <c r="X87" s="180" t="str">
        <f t="shared" si="39"/>
        <v>2042-43</v>
      </c>
      <c r="Y87" s="180" t="str">
        <f t="shared" si="39"/>
        <v>2043-44</v>
      </c>
      <c r="Z87" s="180" t="str">
        <f t="shared" si="39"/>
        <v>2044-45</v>
      </c>
      <c r="AA87" s="180" t="str">
        <f t="shared" si="39"/>
        <v>2045-46</v>
      </c>
      <c r="AB87" s="180" t="str">
        <f t="shared" si="39"/>
        <v>2046-47</v>
      </c>
      <c r="AC87" s="180" t="str">
        <f t="shared" si="39"/>
        <v>2047-48</v>
      </c>
      <c r="AD87" s="180" t="str">
        <f t="shared" si="39"/>
        <v>2048-49</v>
      </c>
      <c r="AE87" s="180" t="str">
        <f t="shared" si="39"/>
        <v>2049-50</v>
      </c>
    </row>
    <row r="88" spans="1:31" x14ac:dyDescent="0.25">
      <c r="A88" s="191"/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3"/>
    </row>
    <row r="89" spans="1:31" x14ac:dyDescent="0.25">
      <c r="A89" s="191" t="s">
        <v>113</v>
      </c>
      <c r="B89" s="192"/>
      <c r="C89" s="192"/>
      <c r="D89" s="192"/>
      <c r="E89" s="192"/>
      <c r="F89" s="192"/>
      <c r="G89" s="192"/>
      <c r="H89" s="192"/>
      <c r="I89" s="192">
        <f>+'Project costs'!K7</f>
        <v>1704.9590933893614</v>
      </c>
      <c r="J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3"/>
    </row>
    <row r="90" spans="1:31" x14ac:dyDescent="0.25">
      <c r="A90" s="191" t="s">
        <v>114</v>
      </c>
      <c r="B90" s="192"/>
      <c r="C90" s="192"/>
      <c r="D90" s="192"/>
      <c r="E90" s="192"/>
      <c r="F90" s="192"/>
      <c r="G90" s="192"/>
      <c r="H90" s="192"/>
      <c r="I90" s="192">
        <f>+'Project costs'!M7</f>
        <v>565.39083273070219</v>
      </c>
      <c r="J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3"/>
    </row>
    <row r="91" spans="1:31" x14ac:dyDescent="0.25">
      <c r="A91" s="191"/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3"/>
    </row>
    <row r="92" spans="1:31" x14ac:dyDescent="0.25">
      <c r="A92" s="191" t="s">
        <v>170</v>
      </c>
      <c r="B92" s="192"/>
      <c r="C92" s="192"/>
      <c r="D92" s="192"/>
      <c r="E92" s="192"/>
      <c r="F92" s="192"/>
      <c r="G92" s="192"/>
      <c r="H92" s="192"/>
      <c r="I92" s="192"/>
      <c r="J92" s="192"/>
      <c r="K92" s="192">
        <f>+'Project costs'!L7</f>
        <v>1111.9045716783342</v>
      </c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3"/>
    </row>
    <row r="93" spans="1:31" x14ac:dyDescent="0.25">
      <c r="A93" s="191" t="s">
        <v>171</v>
      </c>
      <c r="B93" s="192"/>
      <c r="C93" s="192"/>
      <c r="D93" s="192"/>
      <c r="E93" s="192"/>
      <c r="F93" s="192"/>
      <c r="G93" s="192"/>
      <c r="H93" s="192"/>
      <c r="I93" s="192"/>
      <c r="J93" s="192"/>
      <c r="K93" s="192">
        <f>+'Project costs'!N7</f>
        <v>98.677821777282645</v>
      </c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  <c r="AA93" s="192"/>
      <c r="AB93" s="192"/>
      <c r="AC93" s="192"/>
      <c r="AD93" s="192"/>
      <c r="AE93" s="193"/>
    </row>
    <row r="94" spans="1:31" x14ac:dyDescent="0.25">
      <c r="A94" s="191"/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3"/>
    </row>
    <row r="95" spans="1:31" x14ac:dyDescent="0.25">
      <c r="A95" s="191" t="s">
        <v>142</v>
      </c>
      <c r="B95" s="192"/>
      <c r="C95" s="192"/>
      <c r="D95" s="192"/>
      <c r="E95" s="192"/>
      <c r="F95" s="192"/>
      <c r="G95" s="192"/>
      <c r="H95" s="192"/>
      <c r="I95" s="192">
        <f>+'Project costs'!$O7</f>
        <v>15.495291595197255</v>
      </c>
      <c r="J95" s="192">
        <f>+I95</f>
        <v>15.495291595197255</v>
      </c>
      <c r="K95" s="192">
        <f t="shared" ref="K95:AE96" si="40">+J95</f>
        <v>15.495291595197255</v>
      </c>
      <c r="L95" s="192">
        <f t="shared" si="40"/>
        <v>15.495291595197255</v>
      </c>
      <c r="M95" s="192">
        <f t="shared" si="40"/>
        <v>15.495291595197255</v>
      </c>
      <c r="N95" s="192">
        <f t="shared" si="40"/>
        <v>15.495291595197255</v>
      </c>
      <c r="O95" s="192">
        <f t="shared" si="40"/>
        <v>15.495291595197255</v>
      </c>
      <c r="P95" s="192">
        <f t="shared" si="40"/>
        <v>15.495291595197255</v>
      </c>
      <c r="Q95" s="192">
        <f t="shared" si="40"/>
        <v>15.495291595197255</v>
      </c>
      <c r="R95" s="192">
        <f t="shared" si="40"/>
        <v>15.495291595197255</v>
      </c>
      <c r="S95" s="192">
        <f t="shared" si="40"/>
        <v>15.495291595197255</v>
      </c>
      <c r="T95" s="192">
        <f t="shared" si="40"/>
        <v>15.495291595197255</v>
      </c>
      <c r="U95" s="192">
        <f t="shared" si="40"/>
        <v>15.495291595197255</v>
      </c>
      <c r="V95" s="192">
        <f t="shared" si="40"/>
        <v>15.495291595197255</v>
      </c>
      <c r="W95" s="192">
        <f t="shared" si="40"/>
        <v>15.495291595197255</v>
      </c>
      <c r="X95" s="192">
        <f t="shared" si="40"/>
        <v>15.495291595197255</v>
      </c>
      <c r="Y95" s="192">
        <f t="shared" si="40"/>
        <v>15.495291595197255</v>
      </c>
      <c r="Z95" s="192">
        <f t="shared" si="40"/>
        <v>15.495291595197255</v>
      </c>
      <c r="AA95" s="192">
        <f t="shared" si="40"/>
        <v>15.495291595197255</v>
      </c>
      <c r="AB95" s="192">
        <f t="shared" si="40"/>
        <v>15.495291595197255</v>
      </c>
      <c r="AC95" s="192">
        <f t="shared" si="40"/>
        <v>15.495291595197255</v>
      </c>
      <c r="AD95" s="192">
        <f t="shared" si="40"/>
        <v>15.495291595197255</v>
      </c>
      <c r="AE95" s="193">
        <f t="shared" si="40"/>
        <v>15.495291595197255</v>
      </c>
    </row>
    <row r="96" spans="1:31" x14ac:dyDescent="0.25">
      <c r="A96" s="191" t="s">
        <v>143</v>
      </c>
      <c r="B96" s="192"/>
      <c r="C96" s="192"/>
      <c r="D96" s="192"/>
      <c r="E96" s="192"/>
      <c r="F96" s="192"/>
      <c r="G96" s="192"/>
      <c r="H96" s="192"/>
      <c r="I96" s="192">
        <f>+'Project costs'!Q7</f>
        <v>2.7292281303602057</v>
      </c>
      <c r="J96" s="192">
        <f>+I96</f>
        <v>2.7292281303602057</v>
      </c>
      <c r="K96" s="192">
        <f t="shared" si="40"/>
        <v>2.7292281303602057</v>
      </c>
      <c r="L96" s="192">
        <f t="shared" si="40"/>
        <v>2.7292281303602057</v>
      </c>
      <c r="M96" s="192">
        <f t="shared" si="40"/>
        <v>2.7292281303602057</v>
      </c>
      <c r="N96" s="192">
        <f t="shared" si="40"/>
        <v>2.7292281303602057</v>
      </c>
      <c r="O96" s="192">
        <f t="shared" si="40"/>
        <v>2.7292281303602057</v>
      </c>
      <c r="P96" s="192">
        <f t="shared" si="40"/>
        <v>2.7292281303602057</v>
      </c>
      <c r="Q96" s="192">
        <f t="shared" si="40"/>
        <v>2.7292281303602057</v>
      </c>
      <c r="R96" s="192">
        <f t="shared" si="40"/>
        <v>2.7292281303602057</v>
      </c>
      <c r="S96" s="192">
        <f t="shared" si="40"/>
        <v>2.7292281303602057</v>
      </c>
      <c r="T96" s="192">
        <f t="shared" si="40"/>
        <v>2.7292281303602057</v>
      </c>
      <c r="U96" s="192">
        <f t="shared" si="40"/>
        <v>2.7292281303602057</v>
      </c>
      <c r="V96" s="192">
        <f t="shared" si="40"/>
        <v>2.7292281303602057</v>
      </c>
      <c r="W96" s="192">
        <f t="shared" si="40"/>
        <v>2.7292281303602057</v>
      </c>
      <c r="X96" s="192">
        <f t="shared" si="40"/>
        <v>2.7292281303602057</v>
      </c>
      <c r="Y96" s="192">
        <f t="shared" si="40"/>
        <v>2.7292281303602057</v>
      </c>
      <c r="Z96" s="192">
        <f t="shared" si="40"/>
        <v>2.7292281303602057</v>
      </c>
      <c r="AA96" s="192">
        <f t="shared" si="40"/>
        <v>2.7292281303602057</v>
      </c>
      <c r="AB96" s="192">
        <f t="shared" si="40"/>
        <v>2.7292281303602057</v>
      </c>
      <c r="AC96" s="192">
        <f t="shared" si="40"/>
        <v>2.7292281303602057</v>
      </c>
      <c r="AD96" s="192">
        <f t="shared" si="40"/>
        <v>2.7292281303602057</v>
      </c>
      <c r="AE96" s="193">
        <f t="shared" si="40"/>
        <v>2.7292281303602057</v>
      </c>
    </row>
    <row r="97" spans="1:31" x14ac:dyDescent="0.25">
      <c r="A97" s="191"/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3"/>
    </row>
    <row r="98" spans="1:31" x14ac:dyDescent="0.25">
      <c r="A98" s="191" t="s">
        <v>172</v>
      </c>
      <c r="B98" s="192"/>
      <c r="C98" s="192"/>
      <c r="D98" s="192"/>
      <c r="E98" s="192"/>
      <c r="F98" s="192"/>
      <c r="G98" s="192"/>
      <c r="H98" s="192"/>
      <c r="J98" s="192"/>
      <c r="K98" s="192">
        <f>+'Project costs'!$P7</f>
        <v>15.495291595197255</v>
      </c>
      <c r="L98" s="192">
        <f t="shared" ref="L98:AA99" si="41">+K98</f>
        <v>15.495291595197255</v>
      </c>
      <c r="M98" s="192">
        <f t="shared" si="41"/>
        <v>15.495291595197255</v>
      </c>
      <c r="N98" s="192">
        <f t="shared" si="41"/>
        <v>15.495291595197255</v>
      </c>
      <c r="O98" s="192">
        <f t="shared" si="41"/>
        <v>15.495291595197255</v>
      </c>
      <c r="P98" s="192">
        <f t="shared" si="41"/>
        <v>15.495291595197255</v>
      </c>
      <c r="Q98" s="192">
        <f t="shared" si="41"/>
        <v>15.495291595197255</v>
      </c>
      <c r="R98" s="192">
        <f t="shared" si="41"/>
        <v>15.495291595197255</v>
      </c>
      <c r="S98" s="192">
        <f t="shared" si="41"/>
        <v>15.495291595197255</v>
      </c>
      <c r="T98" s="192">
        <f t="shared" si="41"/>
        <v>15.495291595197255</v>
      </c>
      <c r="U98" s="192">
        <f t="shared" si="41"/>
        <v>15.495291595197255</v>
      </c>
      <c r="V98" s="192">
        <f t="shared" si="41"/>
        <v>15.495291595197255</v>
      </c>
      <c r="W98" s="192">
        <f t="shared" si="41"/>
        <v>15.495291595197255</v>
      </c>
      <c r="X98" s="192">
        <f t="shared" si="41"/>
        <v>15.495291595197255</v>
      </c>
      <c r="Y98" s="192">
        <f t="shared" si="41"/>
        <v>15.495291595197255</v>
      </c>
      <c r="Z98" s="192">
        <f t="shared" si="41"/>
        <v>15.495291595197255</v>
      </c>
      <c r="AA98" s="192">
        <f t="shared" si="41"/>
        <v>15.495291595197255</v>
      </c>
      <c r="AB98" s="192">
        <f t="shared" ref="AA98:AE99" si="42">+AA98</f>
        <v>15.495291595197255</v>
      </c>
      <c r="AC98" s="192">
        <f t="shared" si="42"/>
        <v>15.495291595197255</v>
      </c>
      <c r="AD98" s="192">
        <f t="shared" si="42"/>
        <v>15.495291595197255</v>
      </c>
      <c r="AE98" s="193">
        <f t="shared" si="42"/>
        <v>15.495291595197255</v>
      </c>
    </row>
    <row r="99" spans="1:31" x14ac:dyDescent="0.25">
      <c r="A99" s="194" t="s">
        <v>173</v>
      </c>
      <c r="B99" s="158"/>
      <c r="C99" s="158"/>
      <c r="D99" s="158"/>
      <c r="E99" s="158"/>
      <c r="F99" s="158"/>
      <c r="G99" s="158"/>
      <c r="H99" s="158"/>
      <c r="I99" s="158"/>
      <c r="J99" s="158"/>
      <c r="K99" s="158">
        <f>'Project costs'!R7</f>
        <v>2.7292281303602057</v>
      </c>
      <c r="L99" s="158">
        <f t="shared" si="41"/>
        <v>2.7292281303602057</v>
      </c>
      <c r="M99" s="158">
        <f t="shared" si="41"/>
        <v>2.7292281303602057</v>
      </c>
      <c r="N99" s="158">
        <f t="shared" si="41"/>
        <v>2.7292281303602057</v>
      </c>
      <c r="O99" s="158">
        <f t="shared" si="41"/>
        <v>2.7292281303602057</v>
      </c>
      <c r="P99" s="158">
        <f t="shared" si="41"/>
        <v>2.7292281303602057</v>
      </c>
      <c r="Q99" s="158">
        <f t="shared" si="41"/>
        <v>2.7292281303602057</v>
      </c>
      <c r="R99" s="158">
        <f t="shared" si="41"/>
        <v>2.7292281303602057</v>
      </c>
      <c r="S99" s="158">
        <f t="shared" si="41"/>
        <v>2.7292281303602057</v>
      </c>
      <c r="T99" s="158">
        <f t="shared" si="41"/>
        <v>2.7292281303602057</v>
      </c>
      <c r="U99" s="158">
        <f t="shared" si="41"/>
        <v>2.7292281303602057</v>
      </c>
      <c r="V99" s="158">
        <f t="shared" si="41"/>
        <v>2.7292281303602057</v>
      </c>
      <c r="W99" s="158">
        <f t="shared" si="41"/>
        <v>2.7292281303602057</v>
      </c>
      <c r="X99" s="158">
        <f t="shared" si="41"/>
        <v>2.7292281303602057</v>
      </c>
      <c r="Y99" s="158">
        <f t="shared" si="41"/>
        <v>2.7292281303602057</v>
      </c>
      <c r="Z99" s="158">
        <f t="shared" si="41"/>
        <v>2.7292281303602057</v>
      </c>
      <c r="AA99" s="158">
        <f t="shared" si="42"/>
        <v>2.7292281303602057</v>
      </c>
      <c r="AB99" s="158">
        <f t="shared" si="42"/>
        <v>2.7292281303602057</v>
      </c>
      <c r="AC99" s="158">
        <f t="shared" si="42"/>
        <v>2.7292281303602057</v>
      </c>
      <c r="AD99" s="158">
        <f t="shared" si="42"/>
        <v>2.7292281303602057</v>
      </c>
      <c r="AE99" s="195">
        <f t="shared" si="42"/>
        <v>2.7292281303602057</v>
      </c>
    </row>
    <row r="100" spans="1:31" x14ac:dyDescent="0.25">
      <c r="A100" s="185" t="s">
        <v>115</v>
      </c>
      <c r="B100" s="192">
        <f t="shared" ref="B100:AE100" si="43">SUM(B89:B99)</f>
        <v>0</v>
      </c>
      <c r="C100" s="192">
        <f t="shared" si="43"/>
        <v>0</v>
      </c>
      <c r="D100" s="192">
        <f t="shared" si="43"/>
        <v>0</v>
      </c>
      <c r="E100" s="192">
        <f t="shared" si="43"/>
        <v>0</v>
      </c>
      <c r="F100" s="192">
        <f t="shared" si="43"/>
        <v>0</v>
      </c>
      <c r="G100" s="192">
        <f t="shared" si="43"/>
        <v>0</v>
      </c>
      <c r="H100" s="192">
        <f t="shared" si="43"/>
        <v>0</v>
      </c>
      <c r="I100" s="192">
        <f>SUM(I89:I99)</f>
        <v>2288.5744458456211</v>
      </c>
      <c r="J100" s="192">
        <f t="shared" si="43"/>
        <v>18.22451972555746</v>
      </c>
      <c r="K100" s="192">
        <f t="shared" si="43"/>
        <v>1247.0314329067317</v>
      </c>
      <c r="L100" s="192">
        <f t="shared" si="43"/>
        <v>36.44903945111492</v>
      </c>
      <c r="M100" s="192">
        <f t="shared" si="43"/>
        <v>36.44903945111492</v>
      </c>
      <c r="N100" s="192">
        <f t="shared" si="43"/>
        <v>36.44903945111492</v>
      </c>
      <c r="O100" s="192">
        <f t="shared" si="43"/>
        <v>36.44903945111492</v>
      </c>
      <c r="P100" s="192">
        <f t="shared" si="43"/>
        <v>36.44903945111492</v>
      </c>
      <c r="Q100" s="192">
        <f t="shared" si="43"/>
        <v>36.44903945111492</v>
      </c>
      <c r="R100" s="192">
        <f t="shared" si="43"/>
        <v>36.44903945111492</v>
      </c>
      <c r="S100" s="192">
        <f t="shared" si="43"/>
        <v>36.44903945111492</v>
      </c>
      <c r="T100" s="192">
        <f t="shared" si="43"/>
        <v>36.44903945111492</v>
      </c>
      <c r="U100" s="192">
        <f t="shared" si="43"/>
        <v>36.44903945111492</v>
      </c>
      <c r="V100" s="192">
        <f t="shared" si="43"/>
        <v>36.44903945111492</v>
      </c>
      <c r="W100" s="192">
        <f t="shared" si="43"/>
        <v>36.44903945111492</v>
      </c>
      <c r="X100" s="192">
        <f t="shared" si="43"/>
        <v>36.44903945111492</v>
      </c>
      <c r="Y100" s="192">
        <f t="shared" si="43"/>
        <v>36.44903945111492</v>
      </c>
      <c r="Z100" s="192">
        <f t="shared" si="43"/>
        <v>36.44903945111492</v>
      </c>
      <c r="AA100" s="192">
        <f t="shared" si="43"/>
        <v>36.44903945111492</v>
      </c>
      <c r="AB100" s="192">
        <f t="shared" si="43"/>
        <v>36.44903945111492</v>
      </c>
      <c r="AC100" s="192">
        <f t="shared" si="43"/>
        <v>36.44903945111492</v>
      </c>
      <c r="AD100" s="192">
        <f t="shared" si="43"/>
        <v>36.44903945111492</v>
      </c>
      <c r="AE100" s="193">
        <f t="shared" si="43"/>
        <v>36.44903945111492</v>
      </c>
    </row>
    <row r="101" spans="1:31" x14ac:dyDescent="0.25">
      <c r="A101" s="185" t="s">
        <v>116</v>
      </c>
      <c r="B101" s="192">
        <v>0</v>
      </c>
      <c r="C101" s="192">
        <v>0</v>
      </c>
      <c r="D101" s="192">
        <v>0</v>
      </c>
      <c r="E101" s="192">
        <v>0</v>
      </c>
      <c r="F101" s="192">
        <v>0</v>
      </c>
      <c r="G101" s="192">
        <v>0</v>
      </c>
      <c r="H101" s="192">
        <v>0</v>
      </c>
      <c r="I101" s="192">
        <v>0</v>
      </c>
      <c r="J101" s="192">
        <v>0</v>
      </c>
      <c r="K101" s="192">
        <v>0</v>
      </c>
      <c r="L101" s="192">
        <v>0</v>
      </c>
      <c r="M101" s="192">
        <v>0</v>
      </c>
      <c r="N101" s="192">
        <v>0</v>
      </c>
      <c r="O101" s="192">
        <v>0</v>
      </c>
      <c r="P101" s="192">
        <v>0</v>
      </c>
      <c r="Q101" s="192">
        <v>0</v>
      </c>
      <c r="R101" s="192">
        <v>0</v>
      </c>
      <c r="S101" s="192">
        <v>0</v>
      </c>
      <c r="T101" s="192">
        <v>0</v>
      </c>
      <c r="U101" s="192">
        <v>0</v>
      </c>
      <c r="V101" s="192">
        <v>0</v>
      </c>
      <c r="W101" s="192">
        <v>0</v>
      </c>
      <c r="X101" s="192">
        <v>0</v>
      </c>
      <c r="Y101" s="192">
        <v>0</v>
      </c>
      <c r="Z101" s="192">
        <v>0</v>
      </c>
      <c r="AA101" s="192">
        <v>0</v>
      </c>
      <c r="AB101" s="192">
        <v>0</v>
      </c>
      <c r="AC101" s="192">
        <v>0</v>
      </c>
      <c r="AD101" s="192">
        <v>0</v>
      </c>
      <c r="AE101" s="238">
        <f>((+I89-(I89/40*SUM(I86:AE86,-1))+(I90-(I90/60*SUM(I86:AE86,-1))))+(+K92-(K92/40*SUM(K86:AE86,-1))+(K93-(K93/60*SUM(K86:AE86,-1)))))*-1</f>
        <v>-1747.0499531120131</v>
      </c>
    </row>
    <row r="102" spans="1:31" x14ac:dyDescent="0.25">
      <c r="A102" s="185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63"/>
    </row>
    <row r="103" spans="1:31" x14ac:dyDescent="0.25">
      <c r="A103" s="164" t="s">
        <v>154</v>
      </c>
      <c r="B103" s="196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63"/>
    </row>
    <row r="104" spans="1:31" x14ac:dyDescent="0.25">
      <c r="A104" s="185" t="s">
        <v>160</v>
      </c>
      <c r="B104" s="196">
        <f>+XNPV(SlowWACC,$B$100:$AE$100,$B$10:$AE$10)+XNPV(SlowWACC,$B$101:$AE$101,$B$10:$AE$10)</f>
        <v>2435.7182594969936</v>
      </c>
      <c r="C104" s="198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63"/>
    </row>
    <row r="105" spans="1:31" x14ac:dyDescent="0.25">
      <c r="A105" s="217" t="s">
        <v>151</v>
      </c>
      <c r="B105" s="196">
        <f>+XNPV(NotSlowWACC,$B$100:$AE$100,$B$10:$AE$10)+XNPV(NotSlowWACC,$B$101:$AE$101,$B$10:$AE$10)</f>
        <v>2332.8231924497059</v>
      </c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63"/>
    </row>
    <row r="106" spans="1:31" x14ac:dyDescent="0.25">
      <c r="A106" s="185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63"/>
    </row>
    <row r="107" spans="1:31" x14ac:dyDescent="0.25">
      <c r="A107" s="185"/>
      <c r="B107" s="197"/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63"/>
    </row>
    <row r="108" spans="1:31" x14ac:dyDescent="0.25">
      <c r="A108" s="46" t="s">
        <v>1</v>
      </c>
      <c r="B108" s="237" t="s">
        <v>150</v>
      </c>
      <c r="C108" s="237" t="str">
        <f>+B22</f>
        <v>Central</v>
      </c>
      <c r="D108" s="237" t="str">
        <f>+B37</f>
        <v>High DER</v>
      </c>
      <c r="E108" s="237" t="str">
        <f>+B52</f>
        <v xml:space="preserve">Fast Change </v>
      </c>
      <c r="F108" s="237" t="str">
        <f>+B67</f>
        <v>Step Change</v>
      </c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63"/>
    </row>
    <row r="109" spans="1:31" x14ac:dyDescent="0.25">
      <c r="A109" s="164" t="s">
        <v>118</v>
      </c>
      <c r="B109" s="196">
        <f>+B17</f>
        <v>4606.063890397495</v>
      </c>
      <c r="C109" s="196">
        <f>+B32</f>
        <v>3592.4414127839018</v>
      </c>
      <c r="D109" s="196">
        <f>+B47</f>
        <v>3597.2082157651853</v>
      </c>
      <c r="E109" s="196">
        <f>+B62</f>
        <v>3850.9544092491942</v>
      </c>
      <c r="F109" s="196">
        <f>+B77</f>
        <v>5827.2838088424242</v>
      </c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63"/>
    </row>
    <row r="110" spans="1:31" ht="15.75" thickBot="1" x14ac:dyDescent="0.3">
      <c r="A110" s="199" t="s">
        <v>161</v>
      </c>
      <c r="B110" s="186">
        <f>+B104</f>
        <v>2435.7182594969936</v>
      </c>
      <c r="C110" s="186">
        <f>+B105</f>
        <v>2332.8231924497059</v>
      </c>
      <c r="D110" s="186">
        <f>+B105</f>
        <v>2332.8231924497059</v>
      </c>
      <c r="E110" s="186">
        <f>+B105</f>
        <v>2332.8231924497059</v>
      </c>
      <c r="F110" s="186">
        <f>+B105</f>
        <v>2332.8231924497059</v>
      </c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63"/>
    </row>
    <row r="111" spans="1:31" ht="15.75" thickTop="1" x14ac:dyDescent="0.25">
      <c r="A111" s="164" t="s">
        <v>119</v>
      </c>
      <c r="B111" s="196">
        <f>+B109-B110</f>
        <v>2170.3456309005014</v>
      </c>
      <c r="C111" s="196">
        <f>+C109-C110</f>
        <v>1259.6182203341959</v>
      </c>
      <c r="D111" s="196">
        <f t="shared" ref="D111:F111" si="44">+D109-D110</f>
        <v>1264.3850233154794</v>
      </c>
      <c r="E111" s="196">
        <f t="shared" si="44"/>
        <v>1518.1312167994884</v>
      </c>
      <c r="F111" s="196">
        <f t="shared" si="44"/>
        <v>3494.4606163927183</v>
      </c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63"/>
    </row>
    <row r="112" spans="1:31" ht="15.75" thickBot="1" x14ac:dyDescent="0.3">
      <c r="A112" s="200"/>
      <c r="B112" s="201"/>
      <c r="C112" s="201"/>
      <c r="D112" s="201"/>
      <c r="E112" s="201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202"/>
    </row>
    <row r="113" spans="1:31" ht="19.5" thickBot="1" x14ac:dyDescent="0.35">
      <c r="A113" s="219" t="s">
        <v>152</v>
      </c>
      <c r="B113" s="220"/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2"/>
    </row>
    <row r="114" spans="1:31" ht="15.75" thickTop="1" x14ac:dyDescent="0.25">
      <c r="A114" s="223" t="str">
        <f>A6</f>
        <v>Option 4:  750 MW in 2027 and 750 MW in 2029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224"/>
    </row>
    <row r="115" spans="1:31" x14ac:dyDescent="0.25">
      <c r="A115" s="225" t="str">
        <f>A7</f>
        <v xml:space="preserve">Scenario: </v>
      </c>
      <c r="B115" s="74" t="str">
        <f>B7</f>
        <v xml:space="preserve">Slow Change 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226"/>
    </row>
    <row r="116" spans="1:31" x14ac:dyDescent="0.25">
      <c r="A116" s="227"/>
      <c r="B116" s="203">
        <v>1</v>
      </c>
      <c r="C116" s="204">
        <v>1</v>
      </c>
      <c r="D116" s="204">
        <v>1</v>
      </c>
      <c r="E116" s="204">
        <v>1</v>
      </c>
      <c r="F116" s="204">
        <v>1</v>
      </c>
      <c r="G116" s="204">
        <v>1</v>
      </c>
      <c r="H116" s="204">
        <v>1</v>
      </c>
      <c r="I116" s="204">
        <v>1</v>
      </c>
      <c r="J116" s="204">
        <v>1</v>
      </c>
      <c r="K116" s="204">
        <v>1</v>
      </c>
      <c r="L116" s="204">
        <v>1</v>
      </c>
      <c r="M116" s="204">
        <v>1</v>
      </c>
      <c r="N116" s="204">
        <v>1</v>
      </c>
      <c r="O116" s="204">
        <v>1</v>
      </c>
      <c r="P116" s="204">
        <v>1</v>
      </c>
      <c r="Q116" s="204">
        <v>1</v>
      </c>
      <c r="R116" s="204">
        <v>1</v>
      </c>
      <c r="S116" s="204">
        <v>1</v>
      </c>
      <c r="T116" s="204">
        <v>1</v>
      </c>
      <c r="U116" s="204">
        <v>1</v>
      </c>
      <c r="V116" s="204">
        <v>1</v>
      </c>
      <c r="W116" s="204">
        <v>1</v>
      </c>
      <c r="X116" s="204">
        <v>1</v>
      </c>
      <c r="Y116" s="204">
        <v>1</v>
      </c>
      <c r="Z116" s="204">
        <v>1</v>
      </c>
      <c r="AA116" s="204">
        <v>1</v>
      </c>
      <c r="AB116" s="204">
        <v>1</v>
      </c>
      <c r="AC116" s="204">
        <v>1</v>
      </c>
      <c r="AD116" s="204">
        <v>1</v>
      </c>
      <c r="AE116" s="228">
        <v>1</v>
      </c>
    </row>
    <row r="117" spans="1:31" x14ac:dyDescent="0.25">
      <c r="A117" s="229" t="s">
        <v>39</v>
      </c>
      <c r="B117" s="180" t="str">
        <f>+B87</f>
        <v>2020-21</v>
      </c>
      <c r="C117" s="180" t="str">
        <f t="shared" ref="C117:AE117" si="45">+C87</f>
        <v>2021-22</v>
      </c>
      <c r="D117" s="180" t="str">
        <f t="shared" si="45"/>
        <v>2022-23</v>
      </c>
      <c r="E117" s="180" t="str">
        <f t="shared" si="45"/>
        <v>2023-24</v>
      </c>
      <c r="F117" s="180" t="str">
        <f t="shared" si="45"/>
        <v>2024-25</v>
      </c>
      <c r="G117" s="180" t="str">
        <f t="shared" si="45"/>
        <v>2025-26</v>
      </c>
      <c r="H117" s="180" t="str">
        <f t="shared" si="45"/>
        <v>2026-27</v>
      </c>
      <c r="I117" s="180" t="str">
        <f t="shared" si="45"/>
        <v>2027-28</v>
      </c>
      <c r="J117" s="180" t="str">
        <f t="shared" si="45"/>
        <v>2028-29</v>
      </c>
      <c r="K117" s="180" t="str">
        <f t="shared" si="45"/>
        <v>2029-30</v>
      </c>
      <c r="L117" s="180" t="str">
        <f t="shared" si="45"/>
        <v>2030-31</v>
      </c>
      <c r="M117" s="180" t="str">
        <f t="shared" si="45"/>
        <v>2031-32</v>
      </c>
      <c r="N117" s="180" t="str">
        <f t="shared" si="45"/>
        <v>2032-33</v>
      </c>
      <c r="O117" s="180" t="str">
        <f t="shared" si="45"/>
        <v>2033-34</v>
      </c>
      <c r="P117" s="180" t="str">
        <f t="shared" si="45"/>
        <v>2034-35</v>
      </c>
      <c r="Q117" s="180" t="str">
        <f t="shared" si="45"/>
        <v>2035-36</v>
      </c>
      <c r="R117" s="180" t="str">
        <f t="shared" si="45"/>
        <v>2036-37</v>
      </c>
      <c r="S117" s="180" t="str">
        <f t="shared" si="45"/>
        <v>2037-38</v>
      </c>
      <c r="T117" s="180" t="str">
        <f t="shared" si="45"/>
        <v>2038-39</v>
      </c>
      <c r="U117" s="180" t="str">
        <f t="shared" si="45"/>
        <v>2039-40</v>
      </c>
      <c r="V117" s="180" t="str">
        <f t="shared" si="45"/>
        <v>2040-41</v>
      </c>
      <c r="W117" s="180" t="str">
        <f t="shared" si="45"/>
        <v>2041-42</v>
      </c>
      <c r="X117" s="180" t="str">
        <f t="shared" si="45"/>
        <v>2042-43</v>
      </c>
      <c r="Y117" s="180" t="str">
        <f t="shared" si="45"/>
        <v>2043-44</v>
      </c>
      <c r="Z117" s="180" t="str">
        <f t="shared" si="45"/>
        <v>2044-45</v>
      </c>
      <c r="AA117" s="180" t="str">
        <f t="shared" si="45"/>
        <v>2045-46</v>
      </c>
      <c r="AB117" s="180" t="str">
        <f t="shared" si="45"/>
        <v>2046-47</v>
      </c>
      <c r="AC117" s="180" t="str">
        <f t="shared" si="45"/>
        <v>2047-48</v>
      </c>
      <c r="AD117" s="180" t="str">
        <f t="shared" si="45"/>
        <v>2048-49</v>
      </c>
      <c r="AE117" s="230" t="str">
        <f t="shared" si="45"/>
        <v>2049-50</v>
      </c>
    </row>
    <row r="118" spans="1:31" x14ac:dyDescent="0.25">
      <c r="A118" s="191"/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3"/>
    </row>
    <row r="119" spans="1:31" x14ac:dyDescent="0.25">
      <c r="A119" s="191" t="s">
        <v>136</v>
      </c>
      <c r="B119" s="192">
        <f t="shared" ref="B119:AE119" si="46">+B15</f>
        <v>0</v>
      </c>
      <c r="C119" s="192">
        <f t="shared" si="46"/>
        <v>-5.3407958355824198E-3</v>
      </c>
      <c r="D119" s="192">
        <f t="shared" si="46"/>
        <v>-2.2916809249747296</v>
      </c>
      <c r="E119" s="192">
        <f t="shared" si="46"/>
        <v>-3.9522145162555087</v>
      </c>
      <c r="F119" s="192">
        <f t="shared" si="46"/>
        <v>-22.174637261999205</v>
      </c>
      <c r="G119" s="192">
        <f t="shared" si="46"/>
        <v>20.492516960297138</v>
      </c>
      <c r="H119" s="192">
        <f t="shared" si="46"/>
        <v>11.516079504857117</v>
      </c>
      <c r="I119" s="192">
        <f t="shared" si="46"/>
        <v>166.85342139241212</v>
      </c>
      <c r="J119" s="192">
        <f t="shared" si="46"/>
        <v>643.72408210980791</v>
      </c>
      <c r="K119" s="192">
        <f t="shared" si="46"/>
        <v>253.28364181880053</v>
      </c>
      <c r="L119" s="192">
        <f t="shared" si="46"/>
        <v>235.98145300866594</v>
      </c>
      <c r="M119" s="192">
        <f t="shared" si="46"/>
        <v>228.0890109631093</v>
      </c>
      <c r="N119" s="192">
        <f t="shared" si="46"/>
        <v>255.01739787621699</v>
      </c>
      <c r="O119" s="192">
        <f t="shared" si="46"/>
        <v>257.97702022813064</v>
      </c>
      <c r="P119" s="192">
        <f t="shared" si="46"/>
        <v>275.38671473947107</v>
      </c>
      <c r="Q119" s="192">
        <f t="shared" si="46"/>
        <v>238.29050661680316</v>
      </c>
      <c r="R119" s="192">
        <f t="shared" si="46"/>
        <v>250.36289114290699</v>
      </c>
      <c r="S119" s="192">
        <f t="shared" si="46"/>
        <v>308.81414547603958</v>
      </c>
      <c r="T119" s="192">
        <f t="shared" si="46"/>
        <v>824.50917376753284</v>
      </c>
      <c r="U119" s="192">
        <f t="shared" si="46"/>
        <v>425.79738863169342</v>
      </c>
      <c r="V119" s="192">
        <f t="shared" si="46"/>
        <v>365.25657921422027</v>
      </c>
      <c r="W119" s="192">
        <f t="shared" si="46"/>
        <v>338.31011457906243</v>
      </c>
      <c r="X119" s="192">
        <f t="shared" si="46"/>
        <v>385.38207887194284</v>
      </c>
      <c r="Y119" s="192">
        <f t="shared" si="46"/>
        <v>424.86707685950273</v>
      </c>
      <c r="Z119" s="192">
        <f t="shared" si="46"/>
        <v>444.27166200743784</v>
      </c>
      <c r="AA119" s="192">
        <f t="shared" si="46"/>
        <v>437.82585876760521</v>
      </c>
      <c r="AB119" s="192">
        <f t="shared" si="46"/>
        <v>441.0601460873948</v>
      </c>
      <c r="AC119" s="192">
        <f t="shared" si="46"/>
        <v>438.49400082793858</v>
      </c>
      <c r="AD119" s="192">
        <f t="shared" si="46"/>
        <v>821.31781884412226</v>
      </c>
      <c r="AE119" s="193">
        <f t="shared" si="46"/>
        <v>894.88824734684977</v>
      </c>
    </row>
    <row r="120" spans="1:31" x14ac:dyDescent="0.25">
      <c r="A120" s="194" t="s">
        <v>137</v>
      </c>
      <c r="B120" s="158">
        <v>0</v>
      </c>
      <c r="C120" s="158">
        <v>0</v>
      </c>
      <c r="D120" s="158">
        <v>0</v>
      </c>
      <c r="E120" s="158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>
        <v>0</v>
      </c>
      <c r="L120" s="158">
        <v>0</v>
      </c>
      <c r="M120" s="158">
        <v>0</v>
      </c>
      <c r="N120" s="158">
        <v>0</v>
      </c>
      <c r="O120" s="158">
        <v>0</v>
      </c>
      <c r="P120" s="158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58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95">
        <f>+PV(SlowWACC,(40-SUM(I116:AE116)),AVERAGE(Y119:AC119))*-1</f>
        <v>5403.5707557796231</v>
      </c>
    </row>
    <row r="121" spans="1:31" x14ac:dyDescent="0.25">
      <c r="A121" s="185" t="s">
        <v>138</v>
      </c>
      <c r="B121" s="192">
        <f>SUM(B119:B120)</f>
        <v>0</v>
      </c>
      <c r="C121" s="192">
        <f t="shared" ref="C121:AE121" si="47">SUM(C119:C120)</f>
        <v>-5.3407958355824198E-3</v>
      </c>
      <c r="D121" s="192">
        <f t="shared" si="47"/>
        <v>-2.2916809249747296</v>
      </c>
      <c r="E121" s="192">
        <f t="shared" si="47"/>
        <v>-3.9522145162555087</v>
      </c>
      <c r="F121" s="192">
        <f t="shared" si="47"/>
        <v>-22.174637261999205</v>
      </c>
      <c r="G121" s="192">
        <f t="shared" si="47"/>
        <v>20.492516960297138</v>
      </c>
      <c r="H121" s="192">
        <f t="shared" si="47"/>
        <v>11.516079504857117</v>
      </c>
      <c r="I121" s="192">
        <f t="shared" si="47"/>
        <v>166.85342139241212</v>
      </c>
      <c r="J121" s="192">
        <f t="shared" si="47"/>
        <v>643.72408210980791</v>
      </c>
      <c r="K121" s="192">
        <f t="shared" si="47"/>
        <v>253.28364181880053</v>
      </c>
      <c r="L121" s="192">
        <f t="shared" si="47"/>
        <v>235.98145300866594</v>
      </c>
      <c r="M121" s="192">
        <f t="shared" si="47"/>
        <v>228.0890109631093</v>
      </c>
      <c r="N121" s="192">
        <f t="shared" si="47"/>
        <v>255.01739787621699</v>
      </c>
      <c r="O121" s="192">
        <f t="shared" si="47"/>
        <v>257.97702022813064</v>
      </c>
      <c r="P121" s="192">
        <f t="shared" si="47"/>
        <v>275.38671473947107</v>
      </c>
      <c r="Q121" s="192">
        <f t="shared" si="47"/>
        <v>238.29050661680316</v>
      </c>
      <c r="R121" s="192">
        <f t="shared" si="47"/>
        <v>250.36289114290699</v>
      </c>
      <c r="S121" s="192">
        <f t="shared" si="47"/>
        <v>308.81414547603958</v>
      </c>
      <c r="T121" s="192">
        <f t="shared" si="47"/>
        <v>824.50917376753284</v>
      </c>
      <c r="U121" s="192">
        <f t="shared" si="47"/>
        <v>425.79738863169342</v>
      </c>
      <c r="V121" s="192">
        <f t="shared" si="47"/>
        <v>365.25657921422027</v>
      </c>
      <c r="W121" s="192">
        <f t="shared" si="47"/>
        <v>338.31011457906243</v>
      </c>
      <c r="X121" s="192">
        <f t="shared" si="47"/>
        <v>385.38207887194284</v>
      </c>
      <c r="Y121" s="192">
        <f t="shared" si="47"/>
        <v>424.86707685950273</v>
      </c>
      <c r="Z121" s="192">
        <f t="shared" si="47"/>
        <v>444.27166200743784</v>
      </c>
      <c r="AA121" s="192">
        <f t="shared" si="47"/>
        <v>437.82585876760521</v>
      </c>
      <c r="AB121" s="192">
        <f t="shared" si="47"/>
        <v>441.0601460873948</v>
      </c>
      <c r="AC121" s="192">
        <f t="shared" si="47"/>
        <v>438.49400082793858</v>
      </c>
      <c r="AD121" s="192">
        <f t="shared" si="47"/>
        <v>821.31781884412226</v>
      </c>
      <c r="AE121" s="193">
        <f t="shared" si="47"/>
        <v>6298.4590031264725</v>
      </c>
    </row>
    <row r="122" spans="1:31" x14ac:dyDescent="0.25">
      <c r="A122" s="185"/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3"/>
    </row>
    <row r="123" spans="1:31" x14ac:dyDescent="0.25">
      <c r="A123" s="185" t="s">
        <v>139</v>
      </c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3"/>
    </row>
    <row r="124" spans="1:31" x14ac:dyDescent="0.25">
      <c r="A124" s="185" t="s">
        <v>182</v>
      </c>
      <c r="B124" s="192">
        <v>0</v>
      </c>
      <c r="C124" s="192">
        <v>0</v>
      </c>
      <c r="D124" s="192">
        <v>0</v>
      </c>
      <c r="E124" s="192">
        <v>0</v>
      </c>
      <c r="F124" s="192">
        <v>0</v>
      </c>
      <c r="G124" s="192">
        <v>0</v>
      </c>
      <c r="H124" s="192">
        <v>0</v>
      </c>
      <c r="I124" s="192">
        <v>0</v>
      </c>
      <c r="J124" s="192">
        <v>0</v>
      </c>
      <c r="K124" s="192">
        <v>0</v>
      </c>
      <c r="L124" s="192">
        <v>0</v>
      </c>
      <c r="M124" s="192">
        <v>0</v>
      </c>
      <c r="N124" s="192">
        <v>0</v>
      </c>
      <c r="O124" s="192">
        <v>0</v>
      </c>
      <c r="P124" s="192">
        <v>0</v>
      </c>
      <c r="Q124" s="192">
        <v>0</v>
      </c>
      <c r="R124" s="192">
        <v>0</v>
      </c>
      <c r="S124" s="192">
        <v>0</v>
      </c>
      <c r="T124" s="192">
        <v>0</v>
      </c>
      <c r="U124" s="192">
        <v>0</v>
      </c>
      <c r="V124" s="192">
        <v>0</v>
      </c>
      <c r="W124" s="192">
        <v>0</v>
      </c>
      <c r="X124" s="192">
        <v>0</v>
      </c>
      <c r="Y124" s="192">
        <v>0</v>
      </c>
      <c r="Z124" s="192">
        <v>0</v>
      </c>
      <c r="AA124" s="192">
        <v>0</v>
      </c>
      <c r="AB124" s="192">
        <v>0</v>
      </c>
      <c r="AC124" s="192">
        <v>0</v>
      </c>
      <c r="AD124" s="192">
        <v>0</v>
      </c>
      <c r="AE124" s="193">
        <f>+PV(SlowWACC,40-SUM(I116:AE116),AVERAGE(AA98:AE98))*2*-1</f>
        <v>382.93705336298166</v>
      </c>
    </row>
    <row r="125" spans="1:31" x14ac:dyDescent="0.25">
      <c r="A125" s="231" t="s">
        <v>183</v>
      </c>
      <c r="B125" s="158">
        <v>0</v>
      </c>
      <c r="C125" s="158">
        <v>0</v>
      </c>
      <c r="D125" s="158">
        <v>0</v>
      </c>
      <c r="E125" s="158">
        <v>0</v>
      </c>
      <c r="F125" s="158">
        <v>0</v>
      </c>
      <c r="G125" s="158">
        <v>0</v>
      </c>
      <c r="H125" s="158">
        <v>0</v>
      </c>
      <c r="I125" s="158">
        <v>0</v>
      </c>
      <c r="J125" s="158">
        <v>0</v>
      </c>
      <c r="K125" s="158">
        <v>0</v>
      </c>
      <c r="L125" s="158">
        <v>0</v>
      </c>
      <c r="M125" s="158">
        <v>0</v>
      </c>
      <c r="N125" s="158">
        <v>0</v>
      </c>
      <c r="O125" s="158">
        <v>0</v>
      </c>
      <c r="P125" s="158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58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95">
        <f>+PV(SlowWACC,40-SUM(I117:AE117),AVERAGE(AA99:AE99))*2*-1</f>
        <v>111.32948336316748</v>
      </c>
    </row>
    <row r="126" spans="1:31" x14ac:dyDescent="0.25">
      <c r="A126" s="185" t="s">
        <v>144</v>
      </c>
      <c r="B126" s="232">
        <f>+SUM(B124:B125)</f>
        <v>0</v>
      </c>
      <c r="C126" s="232">
        <f t="shared" ref="C126:AE126" si="48">+SUM(C124:C125)</f>
        <v>0</v>
      </c>
      <c r="D126" s="232">
        <f t="shared" si="48"/>
        <v>0</v>
      </c>
      <c r="E126" s="232">
        <f t="shared" si="48"/>
        <v>0</v>
      </c>
      <c r="F126" s="232">
        <f t="shared" si="48"/>
        <v>0</v>
      </c>
      <c r="G126" s="232">
        <f t="shared" si="48"/>
        <v>0</v>
      </c>
      <c r="H126" s="232">
        <f t="shared" si="48"/>
        <v>0</v>
      </c>
      <c r="I126" s="232">
        <f t="shared" si="48"/>
        <v>0</v>
      </c>
      <c r="J126" s="232">
        <f t="shared" si="48"/>
        <v>0</v>
      </c>
      <c r="K126" s="232">
        <f t="shared" si="48"/>
        <v>0</v>
      </c>
      <c r="L126" s="232">
        <f t="shared" si="48"/>
        <v>0</v>
      </c>
      <c r="M126" s="232">
        <f t="shared" si="48"/>
        <v>0</v>
      </c>
      <c r="N126" s="232">
        <f t="shared" si="48"/>
        <v>0</v>
      </c>
      <c r="O126" s="232">
        <f t="shared" si="48"/>
        <v>0</v>
      </c>
      <c r="P126" s="232">
        <f t="shared" si="48"/>
        <v>0</v>
      </c>
      <c r="Q126" s="232">
        <f t="shared" si="48"/>
        <v>0</v>
      </c>
      <c r="R126" s="232">
        <f t="shared" si="48"/>
        <v>0</v>
      </c>
      <c r="S126" s="232">
        <f t="shared" si="48"/>
        <v>0</v>
      </c>
      <c r="T126" s="232">
        <f t="shared" si="48"/>
        <v>0</v>
      </c>
      <c r="U126" s="232">
        <f t="shared" si="48"/>
        <v>0</v>
      </c>
      <c r="V126" s="232">
        <f t="shared" si="48"/>
        <v>0</v>
      </c>
      <c r="W126" s="232">
        <f t="shared" si="48"/>
        <v>0</v>
      </c>
      <c r="X126" s="232">
        <f t="shared" si="48"/>
        <v>0</v>
      </c>
      <c r="Y126" s="232">
        <f t="shared" si="48"/>
        <v>0</v>
      </c>
      <c r="Z126" s="232">
        <f t="shared" si="48"/>
        <v>0</v>
      </c>
      <c r="AA126" s="232">
        <f t="shared" si="48"/>
        <v>0</v>
      </c>
      <c r="AB126" s="232">
        <f t="shared" si="48"/>
        <v>0</v>
      </c>
      <c r="AC126" s="232">
        <f t="shared" si="48"/>
        <v>0</v>
      </c>
      <c r="AD126" s="232">
        <f t="shared" si="48"/>
        <v>0</v>
      </c>
      <c r="AE126" s="233">
        <f t="shared" si="48"/>
        <v>494.26653672614913</v>
      </c>
    </row>
    <row r="127" spans="1:31" x14ac:dyDescent="0.25">
      <c r="A127" s="185"/>
      <c r="B127" s="184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3"/>
    </row>
    <row r="128" spans="1:31" x14ac:dyDescent="0.25">
      <c r="A128" s="185" t="s">
        <v>118</v>
      </c>
      <c r="B128" s="196">
        <f>XNPV(SlowWACC,B121:AE121,$B$10:$AE$10)</f>
        <v>6436.8894066556786</v>
      </c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63"/>
    </row>
    <row r="129" spans="1:31" ht="15.75" thickBot="1" x14ac:dyDescent="0.3">
      <c r="A129" s="234" t="s">
        <v>117</v>
      </c>
      <c r="B129" s="186">
        <f>+B104+XNPV(SlowWACC,$B$126:$AE$126,$B$10:$AE$10)</f>
        <v>2603.1845198958058</v>
      </c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63"/>
    </row>
    <row r="130" spans="1:31" ht="15.75" thickTop="1" x14ac:dyDescent="0.25">
      <c r="A130" s="164" t="s">
        <v>119</v>
      </c>
      <c r="B130" s="196">
        <f>+B128-B129</f>
        <v>3833.7048867598728</v>
      </c>
      <c r="C130" s="184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4"/>
      <c r="AE130" s="163"/>
    </row>
    <row r="131" spans="1:31" ht="15.75" thickBot="1" x14ac:dyDescent="0.3">
      <c r="A131" s="164"/>
      <c r="B131" s="196"/>
      <c r="C131" s="184"/>
      <c r="D131" s="184"/>
      <c r="E131" s="184"/>
      <c r="F131" s="184"/>
      <c r="G131" s="184"/>
      <c r="H131" s="184"/>
      <c r="I131" s="184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184"/>
      <c r="AB131" s="184"/>
      <c r="AC131" s="184"/>
      <c r="AD131" s="184"/>
      <c r="AE131" s="163"/>
    </row>
    <row r="132" spans="1:31" ht="15.75" thickTop="1" x14ac:dyDescent="0.25">
      <c r="A132" s="223" t="str">
        <f>+A21</f>
        <v>Option 4:  750 MW in 2027 and 750 MW in 2029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224"/>
    </row>
    <row r="133" spans="1:31" x14ac:dyDescent="0.25">
      <c r="A133" s="225" t="str">
        <f>+A22</f>
        <v xml:space="preserve">Scenario: </v>
      </c>
      <c r="B133" s="74" t="str">
        <f>+B22</f>
        <v>Central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226"/>
    </row>
    <row r="134" spans="1:31" x14ac:dyDescent="0.25">
      <c r="A134" s="185"/>
      <c r="B134" s="189">
        <v>1</v>
      </c>
      <c r="C134" s="189">
        <v>1</v>
      </c>
      <c r="D134" s="189">
        <v>1</v>
      </c>
      <c r="E134" s="189">
        <v>1</v>
      </c>
      <c r="F134" s="189">
        <v>1</v>
      </c>
      <c r="G134" s="189">
        <v>1</v>
      </c>
      <c r="H134" s="189">
        <v>1</v>
      </c>
      <c r="I134" s="189">
        <v>1</v>
      </c>
      <c r="J134" s="189">
        <v>1</v>
      </c>
      <c r="K134" s="189">
        <v>1</v>
      </c>
      <c r="L134" s="189">
        <v>1</v>
      </c>
      <c r="M134" s="189">
        <v>1</v>
      </c>
      <c r="N134" s="189">
        <v>1</v>
      </c>
      <c r="O134" s="189">
        <v>1</v>
      </c>
      <c r="P134" s="189">
        <v>1</v>
      </c>
      <c r="Q134" s="189">
        <v>1</v>
      </c>
      <c r="R134" s="189">
        <v>1</v>
      </c>
      <c r="S134" s="189">
        <v>1</v>
      </c>
      <c r="T134" s="189">
        <v>1</v>
      </c>
      <c r="U134" s="189">
        <v>1</v>
      </c>
      <c r="V134" s="189">
        <v>1</v>
      </c>
      <c r="W134" s="189">
        <v>1</v>
      </c>
      <c r="X134" s="189">
        <v>1</v>
      </c>
      <c r="Y134" s="189">
        <v>1</v>
      </c>
      <c r="Z134" s="189">
        <v>1</v>
      </c>
      <c r="AA134" s="189">
        <v>1</v>
      </c>
      <c r="AB134" s="189">
        <v>1</v>
      </c>
      <c r="AC134" s="189">
        <v>1</v>
      </c>
      <c r="AD134" s="189">
        <v>1</v>
      </c>
      <c r="AE134" s="190">
        <v>1</v>
      </c>
    </row>
    <row r="135" spans="1:31" x14ac:dyDescent="0.25">
      <c r="A135" s="229" t="s">
        <v>39</v>
      </c>
      <c r="B135" s="180" t="str">
        <f t="shared" ref="B135:AE135" si="49">+B117</f>
        <v>2020-21</v>
      </c>
      <c r="C135" s="180" t="str">
        <f t="shared" si="49"/>
        <v>2021-22</v>
      </c>
      <c r="D135" s="180" t="str">
        <f t="shared" si="49"/>
        <v>2022-23</v>
      </c>
      <c r="E135" s="180" t="str">
        <f t="shared" si="49"/>
        <v>2023-24</v>
      </c>
      <c r="F135" s="180" t="str">
        <f t="shared" si="49"/>
        <v>2024-25</v>
      </c>
      <c r="G135" s="180" t="str">
        <f t="shared" si="49"/>
        <v>2025-26</v>
      </c>
      <c r="H135" s="180" t="str">
        <f t="shared" si="49"/>
        <v>2026-27</v>
      </c>
      <c r="I135" s="180" t="str">
        <f t="shared" si="49"/>
        <v>2027-28</v>
      </c>
      <c r="J135" s="180" t="str">
        <f t="shared" si="49"/>
        <v>2028-29</v>
      </c>
      <c r="K135" s="180" t="str">
        <f t="shared" si="49"/>
        <v>2029-30</v>
      </c>
      <c r="L135" s="180" t="str">
        <f t="shared" si="49"/>
        <v>2030-31</v>
      </c>
      <c r="M135" s="180" t="str">
        <f t="shared" si="49"/>
        <v>2031-32</v>
      </c>
      <c r="N135" s="180" t="str">
        <f t="shared" si="49"/>
        <v>2032-33</v>
      </c>
      <c r="O135" s="180" t="str">
        <f t="shared" si="49"/>
        <v>2033-34</v>
      </c>
      <c r="P135" s="180" t="str">
        <f t="shared" si="49"/>
        <v>2034-35</v>
      </c>
      <c r="Q135" s="180" t="str">
        <f t="shared" si="49"/>
        <v>2035-36</v>
      </c>
      <c r="R135" s="180" t="str">
        <f t="shared" si="49"/>
        <v>2036-37</v>
      </c>
      <c r="S135" s="180" t="str">
        <f t="shared" si="49"/>
        <v>2037-38</v>
      </c>
      <c r="T135" s="180" t="str">
        <f t="shared" si="49"/>
        <v>2038-39</v>
      </c>
      <c r="U135" s="180" t="str">
        <f t="shared" si="49"/>
        <v>2039-40</v>
      </c>
      <c r="V135" s="180" t="str">
        <f t="shared" si="49"/>
        <v>2040-41</v>
      </c>
      <c r="W135" s="180" t="str">
        <f t="shared" si="49"/>
        <v>2041-42</v>
      </c>
      <c r="X135" s="180" t="str">
        <f t="shared" si="49"/>
        <v>2042-43</v>
      </c>
      <c r="Y135" s="180" t="str">
        <f t="shared" si="49"/>
        <v>2043-44</v>
      </c>
      <c r="Z135" s="180" t="str">
        <f t="shared" si="49"/>
        <v>2044-45</v>
      </c>
      <c r="AA135" s="180" t="str">
        <f t="shared" si="49"/>
        <v>2045-46</v>
      </c>
      <c r="AB135" s="180" t="str">
        <f t="shared" si="49"/>
        <v>2046-47</v>
      </c>
      <c r="AC135" s="180" t="str">
        <f t="shared" si="49"/>
        <v>2047-48</v>
      </c>
      <c r="AD135" s="180" t="str">
        <f t="shared" si="49"/>
        <v>2048-49</v>
      </c>
      <c r="AE135" s="230" t="str">
        <f t="shared" si="49"/>
        <v>2049-50</v>
      </c>
    </row>
    <row r="136" spans="1:31" x14ac:dyDescent="0.25">
      <c r="A136" s="191"/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3"/>
    </row>
    <row r="137" spans="1:31" x14ac:dyDescent="0.25">
      <c r="A137" s="191" t="s">
        <v>136</v>
      </c>
      <c r="B137" s="192">
        <f t="shared" ref="B137:AE137" si="50">+B30</f>
        <v>0</v>
      </c>
      <c r="C137" s="192">
        <f t="shared" si="50"/>
        <v>-0.29689448867053037</v>
      </c>
      <c r="D137" s="192">
        <f t="shared" si="50"/>
        <v>-4.4591761814447715</v>
      </c>
      <c r="E137" s="192">
        <f t="shared" si="50"/>
        <v>-9.8836130278600631</v>
      </c>
      <c r="F137" s="192">
        <f t="shared" si="50"/>
        <v>-0.44169504821392402</v>
      </c>
      <c r="G137" s="192">
        <f t="shared" si="50"/>
        <v>62.128080583672926</v>
      </c>
      <c r="H137" s="192">
        <f t="shared" si="50"/>
        <v>-33.355615256306734</v>
      </c>
      <c r="I137" s="192">
        <f t="shared" si="50"/>
        <v>51.017851969000944</v>
      </c>
      <c r="J137" s="192">
        <f t="shared" si="50"/>
        <v>97.2489949784987</v>
      </c>
      <c r="K137" s="192">
        <f t="shared" si="50"/>
        <v>117.97672806702101</v>
      </c>
      <c r="L137" s="192">
        <f t="shared" si="50"/>
        <v>99.152326753296919</v>
      </c>
      <c r="M137" s="192">
        <f t="shared" si="50"/>
        <v>106.38613220336512</v>
      </c>
      <c r="N137" s="192">
        <f t="shared" si="50"/>
        <v>251.31791490061363</v>
      </c>
      <c r="O137" s="192">
        <f t="shared" si="50"/>
        <v>236.75675337967385</v>
      </c>
      <c r="P137" s="192">
        <f t="shared" si="50"/>
        <v>256.19698399149303</v>
      </c>
      <c r="Q137" s="192">
        <f t="shared" si="50"/>
        <v>270.79584699971741</v>
      </c>
      <c r="R137" s="192">
        <f t="shared" si="50"/>
        <v>277.26295963325629</v>
      </c>
      <c r="S137" s="192">
        <f t="shared" si="50"/>
        <v>496.55379642384861</v>
      </c>
      <c r="T137" s="192">
        <f t="shared" si="50"/>
        <v>446.54834201846268</v>
      </c>
      <c r="U137" s="192">
        <f t="shared" si="50"/>
        <v>506.26985434865253</v>
      </c>
      <c r="V137" s="192">
        <f t="shared" si="50"/>
        <v>574.53355497538246</v>
      </c>
      <c r="W137" s="192">
        <f t="shared" si="50"/>
        <v>508.18395750496023</v>
      </c>
      <c r="X137" s="192">
        <f t="shared" si="50"/>
        <v>623.87562196933231</v>
      </c>
      <c r="Y137" s="192">
        <f t="shared" si="50"/>
        <v>626.37789648215562</v>
      </c>
      <c r="Z137" s="192">
        <f t="shared" si="50"/>
        <v>559.06420048479049</v>
      </c>
      <c r="AA137" s="192">
        <f t="shared" si="50"/>
        <v>616.82965528698389</v>
      </c>
      <c r="AB137" s="192">
        <f t="shared" si="50"/>
        <v>664.54227372647722</v>
      </c>
      <c r="AC137" s="192">
        <f t="shared" si="50"/>
        <v>683.79260637479501</v>
      </c>
      <c r="AD137" s="192">
        <f t="shared" si="50"/>
        <v>716.14263631894971</v>
      </c>
      <c r="AE137" s="193">
        <f t="shared" si="50"/>
        <v>698.53963928757014</v>
      </c>
    </row>
    <row r="138" spans="1:31" x14ac:dyDescent="0.25">
      <c r="A138" s="194" t="s">
        <v>137</v>
      </c>
      <c r="B138" s="158">
        <v>0</v>
      </c>
      <c r="C138" s="158">
        <v>0</v>
      </c>
      <c r="D138" s="158">
        <v>0</v>
      </c>
      <c r="E138" s="158">
        <v>0</v>
      </c>
      <c r="F138" s="158">
        <v>0</v>
      </c>
      <c r="G138" s="158">
        <v>0</v>
      </c>
      <c r="H138" s="158">
        <v>0</v>
      </c>
      <c r="I138" s="158">
        <v>0</v>
      </c>
      <c r="J138" s="158">
        <v>0</v>
      </c>
      <c r="K138" s="158">
        <v>0</v>
      </c>
      <c r="L138" s="158">
        <v>0</v>
      </c>
      <c r="M138" s="158">
        <v>0</v>
      </c>
      <c r="N138" s="158">
        <v>0</v>
      </c>
      <c r="O138" s="158">
        <v>0</v>
      </c>
      <c r="P138" s="158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58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95">
        <f>+PV(NotSlowWACC,(40-SUM(I$116:AE$116)),AVERAGE(Y137:AC137))*-1</f>
        <v>7211.3509419177799</v>
      </c>
    </row>
    <row r="139" spans="1:31" x14ac:dyDescent="0.25">
      <c r="A139" s="185" t="s">
        <v>138</v>
      </c>
      <c r="B139" s="192">
        <f>SUM(B137:B138)</f>
        <v>0</v>
      </c>
      <c r="C139" s="192">
        <f t="shared" ref="C139:AE139" si="51">SUM(C137:C138)</f>
        <v>-0.29689448867053037</v>
      </c>
      <c r="D139" s="192">
        <f t="shared" si="51"/>
        <v>-4.4591761814447715</v>
      </c>
      <c r="E139" s="192">
        <f t="shared" si="51"/>
        <v>-9.8836130278600631</v>
      </c>
      <c r="F139" s="192">
        <f t="shared" si="51"/>
        <v>-0.44169504821392402</v>
      </c>
      <c r="G139" s="192">
        <f t="shared" si="51"/>
        <v>62.128080583672926</v>
      </c>
      <c r="H139" s="192">
        <f t="shared" si="51"/>
        <v>-33.355615256306734</v>
      </c>
      <c r="I139" s="192">
        <f t="shared" si="51"/>
        <v>51.017851969000944</v>
      </c>
      <c r="J139" s="192">
        <f t="shared" si="51"/>
        <v>97.2489949784987</v>
      </c>
      <c r="K139" s="192">
        <f t="shared" si="51"/>
        <v>117.97672806702101</v>
      </c>
      <c r="L139" s="192">
        <f t="shared" si="51"/>
        <v>99.152326753296919</v>
      </c>
      <c r="M139" s="192">
        <f t="shared" si="51"/>
        <v>106.38613220336512</v>
      </c>
      <c r="N139" s="192">
        <f t="shared" si="51"/>
        <v>251.31791490061363</v>
      </c>
      <c r="O139" s="192">
        <f t="shared" si="51"/>
        <v>236.75675337967385</v>
      </c>
      <c r="P139" s="192">
        <f t="shared" si="51"/>
        <v>256.19698399149303</v>
      </c>
      <c r="Q139" s="192">
        <f t="shared" si="51"/>
        <v>270.79584699971741</v>
      </c>
      <c r="R139" s="192">
        <f t="shared" si="51"/>
        <v>277.26295963325629</v>
      </c>
      <c r="S139" s="192">
        <f t="shared" si="51"/>
        <v>496.55379642384861</v>
      </c>
      <c r="T139" s="192">
        <f t="shared" si="51"/>
        <v>446.54834201846268</v>
      </c>
      <c r="U139" s="192">
        <f t="shared" si="51"/>
        <v>506.26985434865253</v>
      </c>
      <c r="V139" s="192">
        <f t="shared" si="51"/>
        <v>574.53355497538246</v>
      </c>
      <c r="W139" s="192">
        <f t="shared" si="51"/>
        <v>508.18395750496023</v>
      </c>
      <c r="X139" s="192">
        <f t="shared" si="51"/>
        <v>623.87562196933231</v>
      </c>
      <c r="Y139" s="192">
        <f t="shared" si="51"/>
        <v>626.37789648215562</v>
      </c>
      <c r="Z139" s="192">
        <f t="shared" si="51"/>
        <v>559.06420048479049</v>
      </c>
      <c r="AA139" s="192">
        <f t="shared" si="51"/>
        <v>616.82965528698389</v>
      </c>
      <c r="AB139" s="192">
        <f t="shared" si="51"/>
        <v>664.54227372647722</v>
      </c>
      <c r="AC139" s="192">
        <f t="shared" si="51"/>
        <v>683.79260637479501</v>
      </c>
      <c r="AD139" s="192">
        <f t="shared" si="51"/>
        <v>716.14263631894971</v>
      </c>
      <c r="AE139" s="193">
        <f t="shared" si="51"/>
        <v>7909.8905812053499</v>
      </c>
    </row>
    <row r="140" spans="1:31" x14ac:dyDescent="0.25">
      <c r="A140" s="185"/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3"/>
    </row>
    <row r="141" spans="1:31" x14ac:dyDescent="0.25">
      <c r="A141" s="185" t="s">
        <v>139</v>
      </c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3"/>
    </row>
    <row r="142" spans="1:31" x14ac:dyDescent="0.25">
      <c r="A142" s="185" t="s">
        <v>182</v>
      </c>
      <c r="B142" s="192">
        <v>0</v>
      </c>
      <c r="C142" s="192">
        <v>0</v>
      </c>
      <c r="D142" s="192">
        <v>0</v>
      </c>
      <c r="E142" s="192">
        <v>0</v>
      </c>
      <c r="F142" s="192">
        <v>0</v>
      </c>
      <c r="G142" s="192">
        <v>0</v>
      </c>
      <c r="H142" s="192">
        <v>0</v>
      </c>
      <c r="I142" s="192">
        <v>0</v>
      </c>
      <c r="J142" s="192">
        <v>0</v>
      </c>
      <c r="K142" s="192">
        <v>0</v>
      </c>
      <c r="L142" s="192">
        <v>0</v>
      </c>
      <c r="M142" s="192">
        <v>0</v>
      </c>
      <c r="N142" s="192">
        <v>0</v>
      </c>
      <c r="O142" s="192">
        <v>0</v>
      </c>
      <c r="P142" s="192">
        <v>0</v>
      </c>
      <c r="Q142" s="192">
        <v>0</v>
      </c>
      <c r="R142" s="192">
        <v>0</v>
      </c>
      <c r="S142" s="192">
        <v>0</v>
      </c>
      <c r="T142" s="192">
        <v>0</v>
      </c>
      <c r="U142" s="192">
        <v>0</v>
      </c>
      <c r="V142" s="192">
        <v>0</v>
      </c>
      <c r="W142" s="192">
        <v>0</v>
      </c>
      <c r="X142" s="192">
        <v>0</v>
      </c>
      <c r="Y142" s="192">
        <v>0</v>
      </c>
      <c r="Z142" s="192">
        <v>0</v>
      </c>
      <c r="AA142" s="192">
        <v>0</v>
      </c>
      <c r="AB142" s="192">
        <v>0</v>
      </c>
      <c r="AC142" s="192">
        <v>0</v>
      </c>
      <c r="AD142" s="192">
        <v>0</v>
      </c>
      <c r="AE142" s="193">
        <f>+PV(NotSlowWACC,40-SUM(I134:AE134),AVERAGE(AA98:AE98))*2*-1</f>
        <v>354.66815975304684</v>
      </c>
    </row>
    <row r="143" spans="1:31" x14ac:dyDescent="0.25">
      <c r="A143" s="231" t="s">
        <v>183</v>
      </c>
      <c r="B143" s="158">
        <v>0</v>
      </c>
      <c r="C143" s="158">
        <v>0</v>
      </c>
      <c r="D143" s="158">
        <v>0</v>
      </c>
      <c r="E143" s="158">
        <v>0</v>
      </c>
      <c r="F143" s="158">
        <v>0</v>
      </c>
      <c r="G143" s="158">
        <v>0</v>
      </c>
      <c r="H143" s="158">
        <v>0</v>
      </c>
      <c r="I143" s="158">
        <v>0</v>
      </c>
      <c r="J143" s="158">
        <v>0</v>
      </c>
      <c r="K143" s="158">
        <v>0</v>
      </c>
      <c r="L143" s="158">
        <v>0</v>
      </c>
      <c r="M143" s="158">
        <v>0</v>
      </c>
      <c r="N143" s="158">
        <v>0</v>
      </c>
      <c r="O143" s="158">
        <v>0</v>
      </c>
      <c r="P143" s="158">
        <v>0</v>
      </c>
      <c r="Q143" s="158">
        <v>0</v>
      </c>
      <c r="R143" s="158">
        <v>0</v>
      </c>
      <c r="S143" s="158">
        <v>0</v>
      </c>
      <c r="T143" s="158">
        <v>0</v>
      </c>
      <c r="U143" s="158">
        <v>0</v>
      </c>
      <c r="V143" s="158">
        <v>0</v>
      </c>
      <c r="W143" s="158">
        <v>0</v>
      </c>
      <c r="X143" s="158">
        <v>0</v>
      </c>
      <c r="Y143" s="158">
        <v>0</v>
      </c>
      <c r="Z143" s="158">
        <v>0</v>
      </c>
      <c r="AA143" s="158">
        <v>0</v>
      </c>
      <c r="AB143" s="158">
        <v>0</v>
      </c>
      <c r="AC143" s="158">
        <v>0</v>
      </c>
      <c r="AD143" s="158">
        <v>0</v>
      </c>
      <c r="AE143" s="195">
        <f>+PV(NotSlowWACC,40-SUM(I134:AE134),AVERAGE(AA99:AE99))*2*-1</f>
        <v>62.468673957779785</v>
      </c>
    </row>
    <row r="144" spans="1:31" x14ac:dyDescent="0.25">
      <c r="A144" s="185" t="s">
        <v>144</v>
      </c>
      <c r="B144" s="232">
        <f>+SUM(B142:B143)</f>
        <v>0</v>
      </c>
      <c r="C144" s="232">
        <f t="shared" ref="C144" si="52">+SUM(C142:C143)</f>
        <v>0</v>
      </c>
      <c r="D144" s="232">
        <f t="shared" ref="D144:AE144" si="53">+SUM(D142:D143)</f>
        <v>0</v>
      </c>
      <c r="E144" s="232">
        <f t="shared" si="53"/>
        <v>0</v>
      </c>
      <c r="F144" s="232">
        <f t="shared" si="53"/>
        <v>0</v>
      </c>
      <c r="G144" s="232">
        <f t="shared" si="53"/>
        <v>0</v>
      </c>
      <c r="H144" s="232">
        <f t="shared" si="53"/>
        <v>0</v>
      </c>
      <c r="I144" s="232">
        <f t="shared" si="53"/>
        <v>0</v>
      </c>
      <c r="J144" s="232">
        <f t="shared" si="53"/>
        <v>0</v>
      </c>
      <c r="K144" s="232">
        <f t="shared" si="53"/>
        <v>0</v>
      </c>
      <c r="L144" s="232">
        <f t="shared" si="53"/>
        <v>0</v>
      </c>
      <c r="M144" s="232">
        <f t="shared" si="53"/>
        <v>0</v>
      </c>
      <c r="N144" s="232">
        <f t="shared" si="53"/>
        <v>0</v>
      </c>
      <c r="O144" s="232">
        <f t="shared" si="53"/>
        <v>0</v>
      </c>
      <c r="P144" s="232">
        <f t="shared" si="53"/>
        <v>0</v>
      </c>
      <c r="Q144" s="232">
        <f t="shared" si="53"/>
        <v>0</v>
      </c>
      <c r="R144" s="232">
        <f t="shared" si="53"/>
        <v>0</v>
      </c>
      <c r="S144" s="232">
        <f t="shared" si="53"/>
        <v>0</v>
      </c>
      <c r="T144" s="232">
        <f t="shared" si="53"/>
        <v>0</v>
      </c>
      <c r="U144" s="232">
        <f t="shared" si="53"/>
        <v>0</v>
      </c>
      <c r="V144" s="232">
        <f t="shared" si="53"/>
        <v>0</v>
      </c>
      <c r="W144" s="232">
        <f t="shared" si="53"/>
        <v>0</v>
      </c>
      <c r="X144" s="232">
        <f t="shared" si="53"/>
        <v>0</v>
      </c>
      <c r="Y144" s="232">
        <f t="shared" si="53"/>
        <v>0</v>
      </c>
      <c r="Z144" s="232">
        <f t="shared" si="53"/>
        <v>0</v>
      </c>
      <c r="AA144" s="232">
        <f t="shared" si="53"/>
        <v>0</v>
      </c>
      <c r="AB144" s="232">
        <f t="shared" si="53"/>
        <v>0</v>
      </c>
      <c r="AC144" s="232">
        <f t="shared" si="53"/>
        <v>0</v>
      </c>
      <c r="AD144" s="232">
        <f t="shared" si="53"/>
        <v>0</v>
      </c>
      <c r="AE144" s="233">
        <f t="shared" si="53"/>
        <v>417.13683371082664</v>
      </c>
    </row>
    <row r="145" spans="1:31" x14ac:dyDescent="0.25">
      <c r="A145" s="185"/>
      <c r="B145" s="184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3"/>
    </row>
    <row r="146" spans="1:31" x14ac:dyDescent="0.25">
      <c r="A146" s="185" t="s">
        <v>118</v>
      </c>
      <c r="B146" s="196">
        <f>XNPV(NotSlowWACC,B139:AE139,$B$10:$AE$10)</f>
        <v>5442.3443586123103</v>
      </c>
      <c r="C146" s="184"/>
      <c r="D146" s="184"/>
      <c r="E146" s="184"/>
      <c r="F146" s="184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163"/>
    </row>
    <row r="147" spans="1:31" ht="15.75" thickBot="1" x14ac:dyDescent="0.3">
      <c r="A147" s="234" t="s">
        <v>117</v>
      </c>
      <c r="B147" s="186">
        <f>B105+XNPV(NotSlowWACC,$B$144:$AE$144,$B$10:$AE$10)</f>
        <v>2439.8298634202879</v>
      </c>
      <c r="C147" s="184"/>
      <c r="D147" s="184"/>
      <c r="E147" s="184"/>
      <c r="F147" s="184"/>
      <c r="G147" s="184"/>
      <c r="H147" s="184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184"/>
      <c r="AB147" s="184"/>
      <c r="AC147" s="184"/>
      <c r="AD147" s="184"/>
      <c r="AE147" s="163"/>
    </row>
    <row r="148" spans="1:31" ht="15.75" thickTop="1" x14ac:dyDescent="0.25">
      <c r="A148" s="164" t="s">
        <v>119</v>
      </c>
      <c r="B148" s="196">
        <f>+B146-B147</f>
        <v>3002.5144951920224</v>
      </c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84"/>
      <c r="AE148" s="163"/>
    </row>
    <row r="149" spans="1:31" ht="15.75" thickBot="1" x14ac:dyDescent="0.3">
      <c r="A149" s="164"/>
      <c r="B149" s="196"/>
      <c r="C149" s="184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4"/>
      <c r="AE149" s="163"/>
    </row>
    <row r="150" spans="1:31" ht="15.75" thickTop="1" x14ac:dyDescent="0.25">
      <c r="A150" s="223" t="str">
        <f>+A36</f>
        <v>Option 4:  750 MW in 2027 and 750 MW in 2029</v>
      </c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224"/>
    </row>
    <row r="151" spans="1:31" x14ac:dyDescent="0.25">
      <c r="A151" s="225" t="str">
        <f>+A37</f>
        <v xml:space="preserve">Scenario: </v>
      </c>
      <c r="B151" s="74" t="str">
        <f>+B37</f>
        <v>High DER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226"/>
    </row>
    <row r="152" spans="1:31" x14ac:dyDescent="0.25">
      <c r="A152" s="185"/>
      <c r="B152" s="189">
        <v>1</v>
      </c>
      <c r="C152" s="189">
        <v>1</v>
      </c>
      <c r="D152" s="189">
        <v>1</v>
      </c>
      <c r="E152" s="189">
        <v>1</v>
      </c>
      <c r="F152" s="189">
        <v>1</v>
      </c>
      <c r="G152" s="189">
        <v>1</v>
      </c>
      <c r="H152" s="189">
        <v>1</v>
      </c>
      <c r="I152" s="189">
        <v>1</v>
      </c>
      <c r="J152" s="189">
        <v>1</v>
      </c>
      <c r="K152" s="189">
        <v>1</v>
      </c>
      <c r="L152" s="189">
        <v>1</v>
      </c>
      <c r="M152" s="189">
        <v>1</v>
      </c>
      <c r="N152" s="189">
        <v>1</v>
      </c>
      <c r="O152" s="189">
        <v>1</v>
      </c>
      <c r="P152" s="189">
        <v>1</v>
      </c>
      <c r="Q152" s="189">
        <v>1</v>
      </c>
      <c r="R152" s="189">
        <v>1</v>
      </c>
      <c r="S152" s="189">
        <v>1</v>
      </c>
      <c r="T152" s="189">
        <v>1</v>
      </c>
      <c r="U152" s="189">
        <v>1</v>
      </c>
      <c r="V152" s="189">
        <v>1</v>
      </c>
      <c r="W152" s="189">
        <v>1</v>
      </c>
      <c r="X152" s="189">
        <v>1</v>
      </c>
      <c r="Y152" s="189">
        <v>1</v>
      </c>
      <c r="Z152" s="189">
        <v>1</v>
      </c>
      <c r="AA152" s="189">
        <v>1</v>
      </c>
      <c r="AB152" s="189">
        <v>1</v>
      </c>
      <c r="AC152" s="189">
        <v>1</v>
      </c>
      <c r="AD152" s="189">
        <v>1</v>
      </c>
      <c r="AE152" s="190">
        <v>1</v>
      </c>
    </row>
    <row r="153" spans="1:31" x14ac:dyDescent="0.25">
      <c r="A153" s="229" t="s">
        <v>39</v>
      </c>
      <c r="B153" s="180" t="str">
        <f>+B135</f>
        <v>2020-21</v>
      </c>
      <c r="C153" s="180" t="str">
        <f t="shared" ref="C153:AE153" si="54">+C135</f>
        <v>2021-22</v>
      </c>
      <c r="D153" s="180" t="str">
        <f t="shared" si="54"/>
        <v>2022-23</v>
      </c>
      <c r="E153" s="180" t="str">
        <f t="shared" si="54"/>
        <v>2023-24</v>
      </c>
      <c r="F153" s="180" t="str">
        <f t="shared" si="54"/>
        <v>2024-25</v>
      </c>
      <c r="G153" s="180" t="str">
        <f t="shared" si="54"/>
        <v>2025-26</v>
      </c>
      <c r="H153" s="180" t="str">
        <f t="shared" si="54"/>
        <v>2026-27</v>
      </c>
      <c r="I153" s="180" t="str">
        <f t="shared" si="54"/>
        <v>2027-28</v>
      </c>
      <c r="J153" s="180" t="str">
        <f t="shared" si="54"/>
        <v>2028-29</v>
      </c>
      <c r="K153" s="180" t="str">
        <f t="shared" si="54"/>
        <v>2029-30</v>
      </c>
      <c r="L153" s="180" t="str">
        <f t="shared" si="54"/>
        <v>2030-31</v>
      </c>
      <c r="M153" s="180" t="str">
        <f t="shared" si="54"/>
        <v>2031-32</v>
      </c>
      <c r="N153" s="180" t="str">
        <f t="shared" si="54"/>
        <v>2032-33</v>
      </c>
      <c r="O153" s="180" t="str">
        <f t="shared" si="54"/>
        <v>2033-34</v>
      </c>
      <c r="P153" s="180" t="str">
        <f t="shared" si="54"/>
        <v>2034-35</v>
      </c>
      <c r="Q153" s="180" t="str">
        <f t="shared" si="54"/>
        <v>2035-36</v>
      </c>
      <c r="R153" s="180" t="str">
        <f t="shared" si="54"/>
        <v>2036-37</v>
      </c>
      <c r="S153" s="180" t="str">
        <f t="shared" si="54"/>
        <v>2037-38</v>
      </c>
      <c r="T153" s="180" t="str">
        <f t="shared" si="54"/>
        <v>2038-39</v>
      </c>
      <c r="U153" s="180" t="str">
        <f t="shared" si="54"/>
        <v>2039-40</v>
      </c>
      <c r="V153" s="180" t="str">
        <f t="shared" si="54"/>
        <v>2040-41</v>
      </c>
      <c r="W153" s="180" t="str">
        <f t="shared" si="54"/>
        <v>2041-42</v>
      </c>
      <c r="X153" s="180" t="str">
        <f t="shared" si="54"/>
        <v>2042-43</v>
      </c>
      <c r="Y153" s="180" t="str">
        <f t="shared" si="54"/>
        <v>2043-44</v>
      </c>
      <c r="Z153" s="180" t="str">
        <f t="shared" si="54"/>
        <v>2044-45</v>
      </c>
      <c r="AA153" s="180" t="str">
        <f t="shared" si="54"/>
        <v>2045-46</v>
      </c>
      <c r="AB153" s="180" t="str">
        <f t="shared" si="54"/>
        <v>2046-47</v>
      </c>
      <c r="AC153" s="180" t="str">
        <f t="shared" si="54"/>
        <v>2047-48</v>
      </c>
      <c r="AD153" s="180" t="str">
        <f t="shared" si="54"/>
        <v>2048-49</v>
      </c>
      <c r="AE153" s="230" t="str">
        <f t="shared" si="54"/>
        <v>2049-50</v>
      </c>
    </row>
    <row r="154" spans="1:31" x14ac:dyDescent="0.25">
      <c r="A154" s="191"/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  <c r="R154" s="192"/>
      <c r="S154" s="192"/>
      <c r="T154" s="192"/>
      <c r="U154" s="192"/>
      <c r="V154" s="192"/>
      <c r="W154" s="192"/>
      <c r="X154" s="192"/>
      <c r="Y154" s="192"/>
      <c r="Z154" s="192"/>
      <c r="AA154" s="192"/>
      <c r="AB154" s="192"/>
      <c r="AC154" s="192"/>
      <c r="AD154" s="192"/>
      <c r="AE154" s="193"/>
    </row>
    <row r="155" spans="1:31" x14ac:dyDescent="0.25">
      <c r="A155" s="191" t="s">
        <v>136</v>
      </c>
      <c r="B155" s="192">
        <f t="shared" ref="B155:AE155" si="55">+B45</f>
        <v>0</v>
      </c>
      <c r="C155" s="192">
        <f t="shared" si="55"/>
        <v>-0.4430849018182948</v>
      </c>
      <c r="D155" s="192">
        <f t="shared" si="55"/>
        <v>-2.6947531224066967</v>
      </c>
      <c r="E155" s="192">
        <f t="shared" si="55"/>
        <v>-5.4295738728564329</v>
      </c>
      <c r="F155" s="192">
        <f t="shared" si="55"/>
        <v>5.9771887210637153</v>
      </c>
      <c r="G155" s="192">
        <f t="shared" si="55"/>
        <v>102.0456315459811</v>
      </c>
      <c r="H155" s="192">
        <f t="shared" si="55"/>
        <v>-42.378120275830589</v>
      </c>
      <c r="I155" s="192">
        <f t="shared" si="55"/>
        <v>55.043959709056701</v>
      </c>
      <c r="J155" s="192">
        <f t="shared" si="55"/>
        <v>107.19306177498891</v>
      </c>
      <c r="K155" s="192">
        <f t="shared" si="55"/>
        <v>118.00899736447478</v>
      </c>
      <c r="L155" s="192">
        <f t="shared" si="55"/>
        <v>99.528592260641361</v>
      </c>
      <c r="M155" s="192">
        <f t="shared" si="55"/>
        <v>115.62774336022056</v>
      </c>
      <c r="N155" s="192">
        <f t="shared" si="55"/>
        <v>227.06629630688175</v>
      </c>
      <c r="O155" s="192">
        <f t="shared" si="55"/>
        <v>240.54092371258292</v>
      </c>
      <c r="P155" s="192">
        <f t="shared" si="55"/>
        <v>256.44843145540437</v>
      </c>
      <c r="Q155" s="192">
        <f t="shared" si="55"/>
        <v>267.22956383732009</v>
      </c>
      <c r="R155" s="192">
        <f t="shared" si="55"/>
        <v>298.20573533173945</v>
      </c>
      <c r="S155" s="192">
        <f t="shared" si="55"/>
        <v>459.84921203570508</v>
      </c>
      <c r="T155" s="192">
        <f t="shared" si="55"/>
        <v>461.58645243672402</v>
      </c>
      <c r="U155" s="192">
        <f t="shared" si="55"/>
        <v>495.53705747362812</v>
      </c>
      <c r="V155" s="192">
        <f t="shared" si="55"/>
        <v>517.40366539207253</v>
      </c>
      <c r="W155" s="192">
        <f t="shared" si="55"/>
        <v>548.64789409853768</v>
      </c>
      <c r="X155" s="192">
        <f t="shared" si="55"/>
        <v>594.64188856621035</v>
      </c>
      <c r="Y155" s="192">
        <f t="shared" si="55"/>
        <v>585.0393696850067</v>
      </c>
      <c r="Z155" s="192">
        <f t="shared" si="55"/>
        <v>564.46824301847346</v>
      </c>
      <c r="AA155" s="192">
        <f t="shared" si="55"/>
        <v>621.25622201502279</v>
      </c>
      <c r="AB155" s="192">
        <f t="shared" si="55"/>
        <v>665.93835127687987</v>
      </c>
      <c r="AC155" s="192">
        <f t="shared" si="55"/>
        <v>715.05557635089349</v>
      </c>
      <c r="AD155" s="192">
        <f t="shared" si="55"/>
        <v>698.54366508217845</v>
      </c>
      <c r="AE155" s="193">
        <f t="shared" si="55"/>
        <v>682.62698584856628</v>
      </c>
    </row>
    <row r="156" spans="1:31" x14ac:dyDescent="0.25">
      <c r="A156" s="194" t="s">
        <v>137</v>
      </c>
      <c r="B156" s="158">
        <v>0</v>
      </c>
      <c r="C156" s="158">
        <v>0</v>
      </c>
      <c r="D156" s="158">
        <v>0</v>
      </c>
      <c r="E156" s="158">
        <v>0</v>
      </c>
      <c r="F156" s="158">
        <v>0</v>
      </c>
      <c r="G156" s="158">
        <v>0</v>
      </c>
      <c r="H156" s="158">
        <v>0</v>
      </c>
      <c r="I156" s="158">
        <v>0</v>
      </c>
      <c r="J156" s="158">
        <v>0</v>
      </c>
      <c r="K156" s="158">
        <v>0</v>
      </c>
      <c r="L156" s="158">
        <v>0</v>
      </c>
      <c r="M156" s="158">
        <v>0</v>
      </c>
      <c r="N156" s="158">
        <v>0</v>
      </c>
      <c r="O156" s="158">
        <v>0</v>
      </c>
      <c r="P156" s="158">
        <v>0</v>
      </c>
      <c r="Q156" s="158">
        <v>0</v>
      </c>
      <c r="R156" s="158">
        <v>0</v>
      </c>
      <c r="S156" s="158">
        <v>0</v>
      </c>
      <c r="T156" s="158">
        <v>0</v>
      </c>
      <c r="U156" s="158">
        <v>0</v>
      </c>
      <c r="V156" s="158">
        <v>0</v>
      </c>
      <c r="W156" s="158">
        <v>0</v>
      </c>
      <c r="X156" s="158">
        <v>0</v>
      </c>
      <c r="Y156" s="158">
        <v>0</v>
      </c>
      <c r="Z156" s="158">
        <v>0</v>
      </c>
      <c r="AA156" s="158">
        <v>0</v>
      </c>
      <c r="AB156" s="158">
        <v>0</v>
      </c>
      <c r="AC156" s="158">
        <v>0</v>
      </c>
      <c r="AD156" s="158">
        <v>0</v>
      </c>
      <c r="AE156" s="195">
        <f>+PV(NotSlowWACC,(40-SUM(I$116:AE$116)),AVERAGE(Y155:AC155))*-1</f>
        <v>7213.9857368363691</v>
      </c>
    </row>
    <row r="157" spans="1:31" x14ac:dyDescent="0.25">
      <c r="A157" s="185" t="s">
        <v>138</v>
      </c>
      <c r="B157" s="192">
        <f>SUM(B155:B156)</f>
        <v>0</v>
      </c>
      <c r="C157" s="192">
        <f t="shared" ref="C157:AE157" si="56">SUM(C155:C156)</f>
        <v>-0.4430849018182948</v>
      </c>
      <c r="D157" s="192">
        <f t="shared" si="56"/>
        <v>-2.6947531224066967</v>
      </c>
      <c r="E157" s="192">
        <f t="shared" si="56"/>
        <v>-5.4295738728564329</v>
      </c>
      <c r="F157" s="192">
        <f t="shared" si="56"/>
        <v>5.9771887210637153</v>
      </c>
      <c r="G157" s="192">
        <f t="shared" si="56"/>
        <v>102.0456315459811</v>
      </c>
      <c r="H157" s="192">
        <f t="shared" si="56"/>
        <v>-42.378120275830589</v>
      </c>
      <c r="I157" s="192">
        <f t="shared" si="56"/>
        <v>55.043959709056701</v>
      </c>
      <c r="J157" s="192">
        <f t="shared" si="56"/>
        <v>107.19306177498891</v>
      </c>
      <c r="K157" s="192">
        <f t="shared" si="56"/>
        <v>118.00899736447478</v>
      </c>
      <c r="L157" s="192">
        <f t="shared" si="56"/>
        <v>99.528592260641361</v>
      </c>
      <c r="M157" s="192">
        <f t="shared" si="56"/>
        <v>115.62774336022056</v>
      </c>
      <c r="N157" s="192">
        <f t="shared" si="56"/>
        <v>227.06629630688175</v>
      </c>
      <c r="O157" s="192">
        <f t="shared" si="56"/>
        <v>240.54092371258292</v>
      </c>
      <c r="P157" s="192">
        <f t="shared" si="56"/>
        <v>256.44843145540437</v>
      </c>
      <c r="Q157" s="192">
        <f t="shared" si="56"/>
        <v>267.22956383732009</v>
      </c>
      <c r="R157" s="192">
        <f t="shared" si="56"/>
        <v>298.20573533173945</v>
      </c>
      <c r="S157" s="192">
        <f t="shared" si="56"/>
        <v>459.84921203570508</v>
      </c>
      <c r="T157" s="192">
        <f t="shared" si="56"/>
        <v>461.58645243672402</v>
      </c>
      <c r="U157" s="192">
        <f t="shared" si="56"/>
        <v>495.53705747362812</v>
      </c>
      <c r="V157" s="192">
        <f t="shared" si="56"/>
        <v>517.40366539207253</v>
      </c>
      <c r="W157" s="192">
        <f t="shared" si="56"/>
        <v>548.64789409853768</v>
      </c>
      <c r="X157" s="192">
        <f t="shared" si="56"/>
        <v>594.64188856621035</v>
      </c>
      <c r="Y157" s="192">
        <f t="shared" si="56"/>
        <v>585.0393696850067</v>
      </c>
      <c r="Z157" s="192">
        <f t="shared" si="56"/>
        <v>564.46824301847346</v>
      </c>
      <c r="AA157" s="192">
        <f t="shared" si="56"/>
        <v>621.25622201502279</v>
      </c>
      <c r="AB157" s="192">
        <f t="shared" si="56"/>
        <v>665.93835127687987</v>
      </c>
      <c r="AC157" s="192">
        <f t="shared" si="56"/>
        <v>715.05557635089349</v>
      </c>
      <c r="AD157" s="192">
        <f t="shared" si="56"/>
        <v>698.54366508217845</v>
      </c>
      <c r="AE157" s="193">
        <f t="shared" si="56"/>
        <v>7896.6127226849358</v>
      </c>
    </row>
    <row r="158" spans="1:31" x14ac:dyDescent="0.25">
      <c r="A158" s="185"/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3"/>
    </row>
    <row r="159" spans="1:31" x14ac:dyDescent="0.25">
      <c r="A159" s="185" t="s">
        <v>118</v>
      </c>
      <c r="B159" s="196">
        <f>XNPV(NotSlowWACC,B157:AE157,$B$10:$AE$10)</f>
        <v>5447.7870564322729</v>
      </c>
      <c r="C159" s="184"/>
      <c r="D159" s="184"/>
      <c r="E159" s="184"/>
      <c r="F159" s="184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63"/>
    </row>
    <row r="160" spans="1:31" ht="15.75" thickBot="1" x14ac:dyDescent="0.3">
      <c r="A160" s="234" t="s">
        <v>117</v>
      </c>
      <c r="B160" s="186">
        <f>+B147</f>
        <v>2439.8298634202879</v>
      </c>
      <c r="C160" s="184"/>
      <c r="D160" s="184"/>
      <c r="E160" s="184"/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63"/>
    </row>
    <row r="161" spans="1:31" ht="15.75" thickTop="1" x14ac:dyDescent="0.25">
      <c r="A161" s="164" t="s">
        <v>119</v>
      </c>
      <c r="B161" s="196">
        <f>+B159-B160</f>
        <v>3007.9571930119851</v>
      </c>
      <c r="C161" s="184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  <c r="AD161" s="184"/>
      <c r="AE161" s="163"/>
    </row>
    <row r="162" spans="1:31" ht="15.75" thickBot="1" x14ac:dyDescent="0.3">
      <c r="A162" s="185"/>
      <c r="B162" s="184"/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  <c r="AD162" s="184"/>
      <c r="AE162" s="163"/>
    </row>
    <row r="163" spans="1:31" ht="15.75" thickTop="1" x14ac:dyDescent="0.25">
      <c r="A163" s="223" t="str">
        <f>+A51</f>
        <v>Option 4:  750 MW in 2027 and 750 MW in 2029</v>
      </c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224"/>
    </row>
    <row r="164" spans="1:31" x14ac:dyDescent="0.25">
      <c r="A164" s="225" t="str">
        <f>+A52</f>
        <v xml:space="preserve">Scenario: </v>
      </c>
      <c r="B164" s="74" t="str">
        <f>+B52</f>
        <v xml:space="preserve">Fast Change 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226"/>
    </row>
    <row r="165" spans="1:31" x14ac:dyDescent="0.25">
      <c r="A165" s="185"/>
      <c r="B165" s="189">
        <v>1</v>
      </c>
      <c r="C165" s="189">
        <v>1</v>
      </c>
      <c r="D165" s="189">
        <v>1</v>
      </c>
      <c r="E165" s="189">
        <v>1</v>
      </c>
      <c r="F165" s="189">
        <v>1</v>
      </c>
      <c r="G165" s="189">
        <v>1</v>
      </c>
      <c r="H165" s="189">
        <v>1</v>
      </c>
      <c r="I165" s="189">
        <v>1</v>
      </c>
      <c r="J165" s="189">
        <v>1</v>
      </c>
      <c r="K165" s="189">
        <v>1</v>
      </c>
      <c r="L165" s="189">
        <v>1</v>
      </c>
      <c r="M165" s="189">
        <v>1</v>
      </c>
      <c r="N165" s="189">
        <v>1</v>
      </c>
      <c r="O165" s="189">
        <v>1</v>
      </c>
      <c r="P165" s="189">
        <v>1</v>
      </c>
      <c r="Q165" s="189">
        <v>1</v>
      </c>
      <c r="R165" s="189">
        <v>1</v>
      </c>
      <c r="S165" s="189">
        <v>1</v>
      </c>
      <c r="T165" s="189">
        <v>1</v>
      </c>
      <c r="U165" s="189">
        <v>1</v>
      </c>
      <c r="V165" s="189">
        <v>1</v>
      </c>
      <c r="W165" s="189">
        <v>1</v>
      </c>
      <c r="X165" s="189">
        <v>1</v>
      </c>
      <c r="Y165" s="189">
        <v>1</v>
      </c>
      <c r="Z165" s="189">
        <v>1</v>
      </c>
      <c r="AA165" s="189">
        <v>1</v>
      </c>
      <c r="AB165" s="189">
        <v>1</v>
      </c>
      <c r="AC165" s="189">
        <v>1</v>
      </c>
      <c r="AD165" s="189">
        <v>1</v>
      </c>
      <c r="AE165" s="190">
        <v>1</v>
      </c>
    </row>
    <row r="166" spans="1:31" x14ac:dyDescent="0.25">
      <c r="A166" s="229" t="s">
        <v>39</v>
      </c>
      <c r="B166" s="180" t="str">
        <f>+B153</f>
        <v>2020-21</v>
      </c>
      <c r="C166" s="180" t="str">
        <f t="shared" ref="C166:AE166" si="57">+C153</f>
        <v>2021-22</v>
      </c>
      <c r="D166" s="180" t="str">
        <f t="shared" si="57"/>
        <v>2022-23</v>
      </c>
      <c r="E166" s="180" t="str">
        <f t="shared" si="57"/>
        <v>2023-24</v>
      </c>
      <c r="F166" s="180" t="str">
        <f t="shared" si="57"/>
        <v>2024-25</v>
      </c>
      <c r="G166" s="180" t="str">
        <f t="shared" si="57"/>
        <v>2025-26</v>
      </c>
      <c r="H166" s="180" t="str">
        <f t="shared" si="57"/>
        <v>2026-27</v>
      </c>
      <c r="I166" s="180" t="str">
        <f t="shared" si="57"/>
        <v>2027-28</v>
      </c>
      <c r="J166" s="180" t="str">
        <f t="shared" si="57"/>
        <v>2028-29</v>
      </c>
      <c r="K166" s="180" t="str">
        <f t="shared" si="57"/>
        <v>2029-30</v>
      </c>
      <c r="L166" s="180" t="str">
        <f t="shared" si="57"/>
        <v>2030-31</v>
      </c>
      <c r="M166" s="180" t="str">
        <f t="shared" si="57"/>
        <v>2031-32</v>
      </c>
      <c r="N166" s="180" t="str">
        <f t="shared" si="57"/>
        <v>2032-33</v>
      </c>
      <c r="O166" s="180" t="str">
        <f t="shared" si="57"/>
        <v>2033-34</v>
      </c>
      <c r="P166" s="180" t="str">
        <f t="shared" si="57"/>
        <v>2034-35</v>
      </c>
      <c r="Q166" s="180" t="str">
        <f t="shared" si="57"/>
        <v>2035-36</v>
      </c>
      <c r="R166" s="180" t="str">
        <f t="shared" si="57"/>
        <v>2036-37</v>
      </c>
      <c r="S166" s="180" t="str">
        <f t="shared" si="57"/>
        <v>2037-38</v>
      </c>
      <c r="T166" s="180" t="str">
        <f t="shared" si="57"/>
        <v>2038-39</v>
      </c>
      <c r="U166" s="180" t="str">
        <f t="shared" si="57"/>
        <v>2039-40</v>
      </c>
      <c r="V166" s="180" t="str">
        <f t="shared" si="57"/>
        <v>2040-41</v>
      </c>
      <c r="W166" s="180" t="str">
        <f t="shared" si="57"/>
        <v>2041-42</v>
      </c>
      <c r="X166" s="180" t="str">
        <f t="shared" si="57"/>
        <v>2042-43</v>
      </c>
      <c r="Y166" s="180" t="str">
        <f t="shared" si="57"/>
        <v>2043-44</v>
      </c>
      <c r="Z166" s="180" t="str">
        <f t="shared" si="57"/>
        <v>2044-45</v>
      </c>
      <c r="AA166" s="180" t="str">
        <f t="shared" si="57"/>
        <v>2045-46</v>
      </c>
      <c r="AB166" s="180" t="str">
        <f t="shared" si="57"/>
        <v>2046-47</v>
      </c>
      <c r="AC166" s="180" t="str">
        <f t="shared" si="57"/>
        <v>2047-48</v>
      </c>
      <c r="AD166" s="180" t="str">
        <f t="shared" si="57"/>
        <v>2048-49</v>
      </c>
      <c r="AE166" s="230" t="str">
        <f t="shared" si="57"/>
        <v>2049-50</v>
      </c>
    </row>
    <row r="167" spans="1:31" x14ac:dyDescent="0.25">
      <c r="A167" s="191"/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3"/>
    </row>
    <row r="168" spans="1:31" x14ac:dyDescent="0.25">
      <c r="A168" s="191" t="s">
        <v>136</v>
      </c>
      <c r="B168" s="192">
        <f t="shared" ref="B168:AE168" si="58">+B60</f>
        <v>0</v>
      </c>
      <c r="C168" s="192">
        <f t="shared" si="58"/>
        <v>1.1174558759594238</v>
      </c>
      <c r="D168" s="192">
        <f t="shared" si="58"/>
        <v>-0.45404874650400434</v>
      </c>
      <c r="E168" s="192">
        <f t="shared" si="58"/>
        <v>-6.1619907379855805</v>
      </c>
      <c r="F168" s="192">
        <f t="shared" si="58"/>
        <v>-6.2062253554007061</v>
      </c>
      <c r="G168" s="192">
        <f t="shared" si="58"/>
        <v>113.65637003214944</v>
      </c>
      <c r="H168" s="192">
        <f t="shared" si="58"/>
        <v>-54.256630609938505</v>
      </c>
      <c r="I168" s="192">
        <f t="shared" si="58"/>
        <v>73.889938034194245</v>
      </c>
      <c r="J168" s="192">
        <f t="shared" si="58"/>
        <v>126.57594317598469</v>
      </c>
      <c r="K168" s="192">
        <f t="shared" si="58"/>
        <v>119.73003120407519</v>
      </c>
      <c r="L168" s="192">
        <f t="shared" si="58"/>
        <v>116.78390843000706</v>
      </c>
      <c r="M168" s="192">
        <f t="shared" si="58"/>
        <v>128.96604509053071</v>
      </c>
      <c r="N168" s="192">
        <f t="shared" si="58"/>
        <v>250.14185502212416</v>
      </c>
      <c r="O168" s="192">
        <f t="shared" si="58"/>
        <v>251.72447878239029</v>
      </c>
      <c r="P168" s="192">
        <f t="shared" si="58"/>
        <v>267.45408263661488</v>
      </c>
      <c r="Q168" s="192">
        <f t="shared" si="58"/>
        <v>320.3716756092503</v>
      </c>
      <c r="R168" s="192">
        <f t="shared" si="58"/>
        <v>328.65508366612789</v>
      </c>
      <c r="S168" s="192">
        <f t="shared" si="58"/>
        <v>513.36812499211635</v>
      </c>
      <c r="T168" s="192">
        <f t="shared" si="58"/>
        <v>494.34890553698261</v>
      </c>
      <c r="U168" s="192">
        <f t="shared" si="58"/>
        <v>495.88833620692867</v>
      </c>
      <c r="V168" s="192">
        <f t="shared" si="58"/>
        <v>553.52308791851533</v>
      </c>
      <c r="W168" s="192">
        <f t="shared" si="58"/>
        <v>565.06338383967125</v>
      </c>
      <c r="X168" s="192">
        <f t="shared" si="58"/>
        <v>607.65683539311999</v>
      </c>
      <c r="Y168" s="192">
        <f t="shared" si="58"/>
        <v>637.37680207220706</v>
      </c>
      <c r="Z168" s="192">
        <f t="shared" si="58"/>
        <v>611.50573726462335</v>
      </c>
      <c r="AA168" s="192">
        <f t="shared" si="58"/>
        <v>641.86998805532289</v>
      </c>
      <c r="AB168" s="192">
        <f t="shared" si="58"/>
        <v>696.47551767792095</v>
      </c>
      <c r="AC168" s="192">
        <f t="shared" si="58"/>
        <v>714.75990072697186</v>
      </c>
      <c r="AD168" s="192">
        <f t="shared" si="58"/>
        <v>760.29894129221475</v>
      </c>
      <c r="AE168" s="193">
        <f t="shared" si="58"/>
        <v>761.25814230873425</v>
      </c>
    </row>
    <row r="169" spans="1:31" x14ac:dyDescent="0.25">
      <c r="A169" s="194" t="s">
        <v>137</v>
      </c>
      <c r="B169" s="158">
        <v>0</v>
      </c>
      <c r="C169" s="158">
        <v>0</v>
      </c>
      <c r="D169" s="158">
        <v>0</v>
      </c>
      <c r="E169" s="158">
        <v>0</v>
      </c>
      <c r="F169" s="158">
        <v>0</v>
      </c>
      <c r="G169" s="158">
        <v>0</v>
      </c>
      <c r="H169" s="158">
        <v>0</v>
      </c>
      <c r="I169" s="158">
        <v>0</v>
      </c>
      <c r="J169" s="158">
        <v>0</v>
      </c>
      <c r="K169" s="158">
        <v>0</v>
      </c>
      <c r="L169" s="158">
        <v>0</v>
      </c>
      <c r="M169" s="158">
        <v>0</v>
      </c>
      <c r="N169" s="158">
        <v>0</v>
      </c>
      <c r="O169" s="158">
        <v>0</v>
      </c>
      <c r="P169" s="158">
        <v>0</v>
      </c>
      <c r="Q169" s="158">
        <v>0</v>
      </c>
      <c r="R169" s="158">
        <v>0</v>
      </c>
      <c r="S169" s="158">
        <v>0</v>
      </c>
      <c r="T169" s="158">
        <v>0</v>
      </c>
      <c r="U169" s="158">
        <v>0</v>
      </c>
      <c r="V169" s="158">
        <v>0</v>
      </c>
      <c r="W169" s="158">
        <v>0</v>
      </c>
      <c r="X169" s="158">
        <v>0</v>
      </c>
      <c r="Y169" s="158">
        <v>0</v>
      </c>
      <c r="Z169" s="158">
        <v>0</v>
      </c>
      <c r="AA169" s="158">
        <v>0</v>
      </c>
      <c r="AB169" s="158">
        <v>0</v>
      </c>
      <c r="AC169" s="158">
        <v>0</v>
      </c>
      <c r="AD169" s="158">
        <v>0</v>
      </c>
      <c r="AE169" s="195">
        <f>+PV(NotSlowWACC,(40-SUM(I$116:AE$116)),AVERAGE(Y168:AC168))*-1</f>
        <v>7557.8441429625354</v>
      </c>
    </row>
    <row r="170" spans="1:31" x14ac:dyDescent="0.25">
      <c r="A170" s="185" t="s">
        <v>138</v>
      </c>
      <c r="B170" s="192">
        <f>SUM(B168:B169)</f>
        <v>0</v>
      </c>
      <c r="C170" s="192">
        <f t="shared" ref="C170:AE170" si="59">SUM(C168:C169)</f>
        <v>1.1174558759594238</v>
      </c>
      <c r="D170" s="192">
        <f t="shared" si="59"/>
        <v>-0.45404874650400434</v>
      </c>
      <c r="E170" s="192">
        <f t="shared" si="59"/>
        <v>-6.1619907379855805</v>
      </c>
      <c r="F170" s="192">
        <f t="shared" si="59"/>
        <v>-6.2062253554007061</v>
      </c>
      <c r="G170" s="192">
        <f t="shared" si="59"/>
        <v>113.65637003214944</v>
      </c>
      <c r="H170" s="192">
        <f t="shared" si="59"/>
        <v>-54.256630609938505</v>
      </c>
      <c r="I170" s="192">
        <f t="shared" si="59"/>
        <v>73.889938034194245</v>
      </c>
      <c r="J170" s="192">
        <f t="shared" si="59"/>
        <v>126.57594317598469</v>
      </c>
      <c r="K170" s="192">
        <f t="shared" si="59"/>
        <v>119.73003120407519</v>
      </c>
      <c r="L170" s="192">
        <f t="shared" si="59"/>
        <v>116.78390843000706</v>
      </c>
      <c r="M170" s="192">
        <f t="shared" si="59"/>
        <v>128.96604509053071</v>
      </c>
      <c r="N170" s="192">
        <f t="shared" si="59"/>
        <v>250.14185502212416</v>
      </c>
      <c r="O170" s="192">
        <f t="shared" si="59"/>
        <v>251.72447878239029</v>
      </c>
      <c r="P170" s="192">
        <f t="shared" si="59"/>
        <v>267.45408263661488</v>
      </c>
      <c r="Q170" s="192">
        <f t="shared" si="59"/>
        <v>320.3716756092503</v>
      </c>
      <c r="R170" s="192">
        <f t="shared" si="59"/>
        <v>328.65508366612789</v>
      </c>
      <c r="S170" s="192">
        <f t="shared" si="59"/>
        <v>513.36812499211635</v>
      </c>
      <c r="T170" s="192">
        <f t="shared" si="59"/>
        <v>494.34890553698261</v>
      </c>
      <c r="U170" s="192">
        <f t="shared" si="59"/>
        <v>495.88833620692867</v>
      </c>
      <c r="V170" s="192">
        <f t="shared" si="59"/>
        <v>553.52308791851533</v>
      </c>
      <c r="W170" s="192">
        <f t="shared" si="59"/>
        <v>565.06338383967125</v>
      </c>
      <c r="X170" s="192">
        <f t="shared" si="59"/>
        <v>607.65683539311999</v>
      </c>
      <c r="Y170" s="192">
        <f t="shared" si="59"/>
        <v>637.37680207220706</v>
      </c>
      <c r="Z170" s="192">
        <f t="shared" si="59"/>
        <v>611.50573726462335</v>
      </c>
      <c r="AA170" s="192">
        <f t="shared" si="59"/>
        <v>641.86998805532289</v>
      </c>
      <c r="AB170" s="192">
        <f t="shared" si="59"/>
        <v>696.47551767792095</v>
      </c>
      <c r="AC170" s="192">
        <f t="shared" si="59"/>
        <v>714.75990072697186</v>
      </c>
      <c r="AD170" s="192">
        <f t="shared" si="59"/>
        <v>760.29894129221475</v>
      </c>
      <c r="AE170" s="193">
        <f t="shared" si="59"/>
        <v>8319.1022852712704</v>
      </c>
    </row>
    <row r="171" spans="1:31" x14ac:dyDescent="0.25">
      <c r="A171" s="185"/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3"/>
    </row>
    <row r="172" spans="1:31" x14ac:dyDescent="0.25">
      <c r="A172" s="185" t="s">
        <v>118</v>
      </c>
      <c r="B172" s="196">
        <f>XNPV(NotSlowWACC,B170:AE170,$B$10:$AE$10)</f>
        <v>5789.7420589957492</v>
      </c>
      <c r="C172" s="184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  <c r="AD172" s="184"/>
      <c r="AE172" s="163"/>
    </row>
    <row r="173" spans="1:31" ht="15.75" thickBot="1" x14ac:dyDescent="0.3">
      <c r="A173" s="234" t="s">
        <v>117</v>
      </c>
      <c r="B173" s="186">
        <f>+B160</f>
        <v>2439.8298634202879</v>
      </c>
      <c r="C173" s="184"/>
      <c r="D173" s="184"/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  <c r="Z173" s="184"/>
      <c r="AA173" s="184"/>
      <c r="AB173" s="184"/>
      <c r="AC173" s="184"/>
      <c r="AD173" s="184"/>
      <c r="AE173" s="163"/>
    </row>
    <row r="174" spans="1:31" ht="15.75" thickTop="1" x14ac:dyDescent="0.25">
      <c r="A174" s="164" t="s">
        <v>119</v>
      </c>
      <c r="B174" s="196">
        <f>+B172-B173</f>
        <v>3349.9121955754613</v>
      </c>
      <c r="C174" s="184"/>
      <c r="D174" s="184"/>
      <c r="E174" s="184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  <c r="Z174" s="184"/>
      <c r="AA174" s="184"/>
      <c r="AB174" s="184"/>
      <c r="AC174" s="184"/>
      <c r="AD174" s="184"/>
      <c r="AE174" s="163"/>
    </row>
    <row r="175" spans="1:31" ht="15.75" thickBot="1" x14ac:dyDescent="0.3">
      <c r="A175" s="185"/>
      <c r="B175" s="184"/>
      <c r="C175" s="184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63"/>
    </row>
    <row r="176" spans="1:31" ht="15.75" thickTop="1" x14ac:dyDescent="0.25">
      <c r="A176" s="223" t="str">
        <f>+A66</f>
        <v>Option 4:  750 MW in 2027 and 750 MW in 2029</v>
      </c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224"/>
    </row>
    <row r="177" spans="1:31" x14ac:dyDescent="0.25">
      <c r="A177" s="225" t="str">
        <f>+A67</f>
        <v xml:space="preserve">Scenario: </v>
      </c>
      <c r="B177" s="74" t="str">
        <f>+B67</f>
        <v>Step Change</v>
      </c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226"/>
    </row>
    <row r="178" spans="1:31" x14ac:dyDescent="0.25">
      <c r="A178" s="185"/>
      <c r="B178" s="189">
        <v>1</v>
      </c>
      <c r="C178" s="189">
        <v>1</v>
      </c>
      <c r="D178" s="189">
        <v>1</v>
      </c>
      <c r="E178" s="189">
        <v>1</v>
      </c>
      <c r="F178" s="189">
        <v>1</v>
      </c>
      <c r="G178" s="189">
        <v>1</v>
      </c>
      <c r="H178" s="189">
        <v>1</v>
      </c>
      <c r="I178" s="189">
        <v>1</v>
      </c>
      <c r="J178" s="189">
        <v>1</v>
      </c>
      <c r="K178" s="189">
        <v>1</v>
      </c>
      <c r="L178" s="189">
        <v>1</v>
      </c>
      <c r="M178" s="189">
        <v>1</v>
      </c>
      <c r="N178" s="189">
        <v>1</v>
      </c>
      <c r="O178" s="189">
        <v>1</v>
      </c>
      <c r="P178" s="189">
        <v>1</v>
      </c>
      <c r="Q178" s="189">
        <v>1</v>
      </c>
      <c r="R178" s="189">
        <v>1</v>
      </c>
      <c r="S178" s="189">
        <v>1</v>
      </c>
      <c r="T178" s="189">
        <v>1</v>
      </c>
      <c r="U178" s="189">
        <v>1</v>
      </c>
      <c r="V178" s="189">
        <v>1</v>
      </c>
      <c r="W178" s="189">
        <v>1</v>
      </c>
      <c r="X178" s="189">
        <v>1</v>
      </c>
      <c r="Y178" s="189">
        <v>1</v>
      </c>
      <c r="Z178" s="189">
        <v>1</v>
      </c>
      <c r="AA178" s="189">
        <v>1</v>
      </c>
      <c r="AB178" s="189">
        <v>1</v>
      </c>
      <c r="AC178" s="189">
        <v>1</v>
      </c>
      <c r="AD178" s="189">
        <v>1</v>
      </c>
      <c r="AE178" s="190">
        <v>1</v>
      </c>
    </row>
    <row r="179" spans="1:31" x14ac:dyDescent="0.25">
      <c r="A179" s="229" t="s">
        <v>39</v>
      </c>
      <c r="B179" s="180" t="str">
        <f>+B166</f>
        <v>2020-21</v>
      </c>
      <c r="C179" s="180" t="str">
        <f t="shared" ref="C179:AE179" si="60">+C166</f>
        <v>2021-22</v>
      </c>
      <c r="D179" s="180" t="str">
        <f t="shared" si="60"/>
        <v>2022-23</v>
      </c>
      <c r="E179" s="180" t="str">
        <f t="shared" si="60"/>
        <v>2023-24</v>
      </c>
      <c r="F179" s="180" t="str">
        <f t="shared" si="60"/>
        <v>2024-25</v>
      </c>
      <c r="G179" s="180" t="str">
        <f t="shared" si="60"/>
        <v>2025-26</v>
      </c>
      <c r="H179" s="180" t="str">
        <f t="shared" si="60"/>
        <v>2026-27</v>
      </c>
      <c r="I179" s="180" t="str">
        <f t="shared" si="60"/>
        <v>2027-28</v>
      </c>
      <c r="J179" s="180" t="str">
        <f t="shared" si="60"/>
        <v>2028-29</v>
      </c>
      <c r="K179" s="180" t="str">
        <f t="shared" si="60"/>
        <v>2029-30</v>
      </c>
      <c r="L179" s="180" t="str">
        <f t="shared" si="60"/>
        <v>2030-31</v>
      </c>
      <c r="M179" s="180" t="str">
        <f t="shared" si="60"/>
        <v>2031-32</v>
      </c>
      <c r="N179" s="180" t="str">
        <f t="shared" si="60"/>
        <v>2032-33</v>
      </c>
      <c r="O179" s="180" t="str">
        <f t="shared" si="60"/>
        <v>2033-34</v>
      </c>
      <c r="P179" s="180" t="str">
        <f t="shared" si="60"/>
        <v>2034-35</v>
      </c>
      <c r="Q179" s="180" t="str">
        <f t="shared" si="60"/>
        <v>2035-36</v>
      </c>
      <c r="R179" s="180" t="str">
        <f t="shared" si="60"/>
        <v>2036-37</v>
      </c>
      <c r="S179" s="180" t="str">
        <f t="shared" si="60"/>
        <v>2037-38</v>
      </c>
      <c r="T179" s="180" t="str">
        <f t="shared" si="60"/>
        <v>2038-39</v>
      </c>
      <c r="U179" s="180" t="str">
        <f t="shared" si="60"/>
        <v>2039-40</v>
      </c>
      <c r="V179" s="180" t="str">
        <f t="shared" si="60"/>
        <v>2040-41</v>
      </c>
      <c r="W179" s="180" t="str">
        <f t="shared" si="60"/>
        <v>2041-42</v>
      </c>
      <c r="X179" s="180" t="str">
        <f t="shared" si="60"/>
        <v>2042-43</v>
      </c>
      <c r="Y179" s="180" t="str">
        <f t="shared" si="60"/>
        <v>2043-44</v>
      </c>
      <c r="Z179" s="180" t="str">
        <f t="shared" si="60"/>
        <v>2044-45</v>
      </c>
      <c r="AA179" s="180" t="str">
        <f t="shared" si="60"/>
        <v>2045-46</v>
      </c>
      <c r="AB179" s="180" t="str">
        <f t="shared" si="60"/>
        <v>2046-47</v>
      </c>
      <c r="AC179" s="180" t="str">
        <f t="shared" si="60"/>
        <v>2047-48</v>
      </c>
      <c r="AD179" s="180" t="str">
        <f t="shared" si="60"/>
        <v>2048-49</v>
      </c>
      <c r="AE179" s="230" t="str">
        <f t="shared" si="60"/>
        <v>2049-50</v>
      </c>
    </row>
    <row r="180" spans="1:31" x14ac:dyDescent="0.25">
      <c r="A180" s="191"/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193"/>
    </row>
    <row r="181" spans="1:31" x14ac:dyDescent="0.25">
      <c r="A181" s="191" t="s">
        <v>136</v>
      </c>
      <c r="B181" s="192">
        <f t="shared" ref="B181:AE181" si="61">+B75</f>
        <v>0</v>
      </c>
      <c r="C181" s="192">
        <f t="shared" si="61"/>
        <v>44.137853959927391</v>
      </c>
      <c r="D181" s="192">
        <f t="shared" si="61"/>
        <v>48.897153470536971</v>
      </c>
      <c r="E181" s="192">
        <f t="shared" si="61"/>
        <v>65.534603292430546</v>
      </c>
      <c r="F181" s="192">
        <f t="shared" si="61"/>
        <v>93.161834076485903</v>
      </c>
      <c r="G181" s="192">
        <f t="shared" si="61"/>
        <v>126.32431047047983</v>
      </c>
      <c r="H181" s="192">
        <f t="shared" si="61"/>
        <v>38.689922204521054</v>
      </c>
      <c r="I181" s="192">
        <f t="shared" si="61"/>
        <v>188.32092386876508</v>
      </c>
      <c r="J181" s="192">
        <f t="shared" si="61"/>
        <v>212.37568265471532</v>
      </c>
      <c r="K181" s="192">
        <f t="shared" si="61"/>
        <v>172.33146394475554</v>
      </c>
      <c r="L181" s="192">
        <f t="shared" si="61"/>
        <v>198.07758143920779</v>
      </c>
      <c r="M181" s="192">
        <f t="shared" si="61"/>
        <v>300.25599704027798</v>
      </c>
      <c r="N181" s="192">
        <f t="shared" si="61"/>
        <v>372.23122435307073</v>
      </c>
      <c r="O181" s="192">
        <f t="shared" si="61"/>
        <v>418.72625413571797</v>
      </c>
      <c r="P181" s="192">
        <f t="shared" si="61"/>
        <v>480.76432785645727</v>
      </c>
      <c r="Q181" s="192">
        <f t="shared" si="61"/>
        <v>558.49409846945628</v>
      </c>
      <c r="R181" s="192">
        <f t="shared" si="61"/>
        <v>578.39459502954787</v>
      </c>
      <c r="S181" s="192">
        <f t="shared" si="61"/>
        <v>651.91527004453508</v>
      </c>
      <c r="T181" s="192">
        <f t="shared" si="61"/>
        <v>739.58631089185826</v>
      </c>
      <c r="U181" s="192">
        <f t="shared" si="61"/>
        <v>656.18364715382438</v>
      </c>
      <c r="V181" s="192">
        <f t="shared" si="61"/>
        <v>739.81250022729671</v>
      </c>
      <c r="W181" s="192">
        <f t="shared" si="61"/>
        <v>663.77160655308001</v>
      </c>
      <c r="X181" s="192">
        <f t="shared" si="61"/>
        <v>898.26467492108361</v>
      </c>
      <c r="Y181" s="192">
        <f t="shared" si="61"/>
        <v>911.98186702369014</v>
      </c>
      <c r="Z181" s="192">
        <f t="shared" si="61"/>
        <v>932.9836045488089</v>
      </c>
      <c r="AA181" s="192">
        <f t="shared" si="61"/>
        <v>925.45093962307806</v>
      </c>
      <c r="AB181" s="192">
        <f t="shared" si="61"/>
        <v>954.31251603415842</v>
      </c>
      <c r="AC181" s="192">
        <f t="shared" si="61"/>
        <v>897.08020755657958</v>
      </c>
      <c r="AD181" s="192">
        <f t="shared" si="61"/>
        <v>730.94828024883532</v>
      </c>
      <c r="AE181" s="193">
        <f t="shared" si="61"/>
        <v>676.05449388100192</v>
      </c>
    </row>
    <row r="182" spans="1:31" x14ac:dyDescent="0.25">
      <c r="A182" s="194" t="s">
        <v>137</v>
      </c>
      <c r="B182" s="158">
        <v>0</v>
      </c>
      <c r="C182" s="158">
        <v>0</v>
      </c>
      <c r="D182" s="158">
        <v>0</v>
      </c>
      <c r="E182" s="158">
        <v>0</v>
      </c>
      <c r="F182" s="158">
        <v>0</v>
      </c>
      <c r="G182" s="158">
        <v>0</v>
      </c>
      <c r="H182" s="158">
        <v>0</v>
      </c>
      <c r="I182" s="158">
        <v>0</v>
      </c>
      <c r="J182" s="158">
        <v>0</v>
      </c>
      <c r="K182" s="158">
        <v>0</v>
      </c>
      <c r="L182" s="158">
        <v>0</v>
      </c>
      <c r="M182" s="158">
        <v>0</v>
      </c>
      <c r="N182" s="158">
        <v>0</v>
      </c>
      <c r="O182" s="158">
        <v>0</v>
      </c>
      <c r="P182" s="158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58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95">
        <f>+PV(NotSlowWACC,(40-SUM(I$116:AE$116)),AVERAGE(Y181:AC181))*-1</f>
        <v>10578.752458408426</v>
      </c>
    </row>
    <row r="183" spans="1:31" x14ac:dyDescent="0.25">
      <c r="A183" s="185" t="s">
        <v>138</v>
      </c>
      <c r="B183" s="192">
        <f>SUM(B181:B182)</f>
        <v>0</v>
      </c>
      <c r="C183" s="192">
        <f t="shared" ref="C183:AE183" si="62">SUM(C181:C182)</f>
        <v>44.137853959927391</v>
      </c>
      <c r="D183" s="192">
        <f t="shared" si="62"/>
        <v>48.897153470536971</v>
      </c>
      <c r="E183" s="192">
        <f t="shared" si="62"/>
        <v>65.534603292430546</v>
      </c>
      <c r="F183" s="192">
        <f t="shared" si="62"/>
        <v>93.161834076485903</v>
      </c>
      <c r="G183" s="192">
        <f t="shared" si="62"/>
        <v>126.32431047047983</v>
      </c>
      <c r="H183" s="192">
        <f t="shared" si="62"/>
        <v>38.689922204521054</v>
      </c>
      <c r="I183" s="192">
        <f t="shared" si="62"/>
        <v>188.32092386876508</v>
      </c>
      <c r="J183" s="192">
        <f t="shared" si="62"/>
        <v>212.37568265471532</v>
      </c>
      <c r="K183" s="192">
        <f t="shared" si="62"/>
        <v>172.33146394475554</v>
      </c>
      <c r="L183" s="192">
        <f t="shared" si="62"/>
        <v>198.07758143920779</v>
      </c>
      <c r="M183" s="192">
        <f t="shared" si="62"/>
        <v>300.25599704027798</v>
      </c>
      <c r="N183" s="192">
        <f t="shared" si="62"/>
        <v>372.23122435307073</v>
      </c>
      <c r="O183" s="192">
        <f t="shared" si="62"/>
        <v>418.72625413571797</v>
      </c>
      <c r="P183" s="192">
        <f t="shared" si="62"/>
        <v>480.76432785645727</v>
      </c>
      <c r="Q183" s="192">
        <f t="shared" si="62"/>
        <v>558.49409846945628</v>
      </c>
      <c r="R183" s="192">
        <f t="shared" si="62"/>
        <v>578.39459502954787</v>
      </c>
      <c r="S183" s="192">
        <f t="shared" si="62"/>
        <v>651.91527004453508</v>
      </c>
      <c r="T183" s="192">
        <f t="shared" si="62"/>
        <v>739.58631089185826</v>
      </c>
      <c r="U183" s="192">
        <f t="shared" si="62"/>
        <v>656.18364715382438</v>
      </c>
      <c r="V183" s="192">
        <f t="shared" si="62"/>
        <v>739.81250022729671</v>
      </c>
      <c r="W183" s="192">
        <f t="shared" si="62"/>
        <v>663.77160655308001</v>
      </c>
      <c r="X183" s="192">
        <f t="shared" si="62"/>
        <v>898.26467492108361</v>
      </c>
      <c r="Y183" s="192">
        <f t="shared" si="62"/>
        <v>911.98186702369014</v>
      </c>
      <c r="Z183" s="192">
        <f t="shared" si="62"/>
        <v>932.9836045488089</v>
      </c>
      <c r="AA183" s="192">
        <f t="shared" si="62"/>
        <v>925.45093962307806</v>
      </c>
      <c r="AB183" s="192">
        <f t="shared" si="62"/>
        <v>954.31251603415842</v>
      </c>
      <c r="AC183" s="192">
        <f t="shared" si="62"/>
        <v>897.08020755657958</v>
      </c>
      <c r="AD183" s="192">
        <f t="shared" si="62"/>
        <v>730.94828024883532</v>
      </c>
      <c r="AE183" s="193">
        <f t="shared" si="62"/>
        <v>11254.806952289427</v>
      </c>
    </row>
    <row r="184" spans="1:31" x14ac:dyDescent="0.25">
      <c r="A184" s="185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3"/>
    </row>
    <row r="185" spans="1:31" x14ac:dyDescent="0.25">
      <c r="A185" s="185" t="s">
        <v>118</v>
      </c>
      <c r="B185" s="196">
        <f>XNPV(NotSlowWACC,B183:AE183,$B$10:$AE$10)</f>
        <v>8541.0146331524284</v>
      </c>
      <c r="C185" s="184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  <c r="AC185" s="184"/>
      <c r="AD185" s="184"/>
      <c r="AE185" s="163"/>
    </row>
    <row r="186" spans="1:31" ht="15.75" thickBot="1" x14ac:dyDescent="0.3">
      <c r="A186" s="234" t="s">
        <v>117</v>
      </c>
      <c r="B186" s="186">
        <f>+B173</f>
        <v>2439.8298634202879</v>
      </c>
      <c r="C186" s="184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  <c r="Z186" s="184"/>
      <c r="AA186" s="184"/>
      <c r="AB186" s="184"/>
      <c r="AC186" s="184"/>
      <c r="AD186" s="184"/>
      <c r="AE186" s="163"/>
    </row>
    <row r="187" spans="1:31" ht="16.5" thickTop="1" thickBot="1" x14ac:dyDescent="0.3">
      <c r="A187" s="235" t="s">
        <v>119</v>
      </c>
      <c r="B187" s="236">
        <f>+B185-B186</f>
        <v>6101.1847697321409</v>
      </c>
      <c r="C187" s="18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  <c r="Z187" s="183"/>
      <c r="AA187" s="183"/>
      <c r="AB187" s="183"/>
      <c r="AC187" s="183"/>
      <c r="AD187" s="183"/>
      <c r="AE187" s="202"/>
    </row>
    <row r="188" spans="1:3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3.xml><?xml version="1.0" encoding="utf-8"?>
<?mso-contentType ?>
<p:Policy xmlns:p="office.server.policy" id="" local="true">
  <p:Name>TasNetworks Document</p:Name>
  <p:Description/>
  <p:Statement/>
  <p:PolicyItems>
    <p:PolicyItem featureId="Microsoft.Office.RecordsManagement.PolicyFeatures.PolicyAudit" staticId="0x01010040455D106F859F468E6D452FBFEBB268|8138272" UniqueId="d778febe-f478-4164-8b66-0d09d8b8933a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Record_x0020_Number xmlns="200fb119-eb52-4b14-8105-5afb3c90cb4b">R0001921786</Record_x0020_Number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asNetworks Document" ma:contentTypeID="0x01010040455D106F859F468E6D452FBFEBB26800E54D1C6798218F48B9029ABA5949F88B" ma:contentTypeVersion="15" ma:contentTypeDescription="TasNetworks base Document content type " ma:contentTypeScope="" ma:versionID="7c59c5fc67452a2d29423641aa800804">
  <xsd:schema xmlns:xsd="http://www.w3.org/2001/XMLSchema" xmlns:xs="http://www.w3.org/2001/XMLSchema" xmlns:p="http://schemas.microsoft.com/office/2006/metadata/properties" xmlns:ns1="http://schemas.microsoft.com/sharepoint/v3" xmlns:ns2="200fb119-eb52-4b14-8105-5afb3c90cb4b" xmlns:ns3="http://schemas.microsoft.com/sharepoint/v3/fields" targetNamespace="http://schemas.microsoft.com/office/2006/metadata/properties" ma:root="true" ma:fieldsID="268f4e6b1cc6c9a288260d6e0dc09350" ns1:_="" ns2:_="" ns3:_="">
    <xsd:import namespace="http://schemas.microsoft.com/sharepoint/v3"/>
    <xsd:import namespace="200fb119-eb52-4b14-8105-5afb3c90cb4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1:_dlc_Exempt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fb119-eb52-4b14-8105-5afb3c90cb4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0" nillable="true" ma:displayName="Version" ma:hidden="true" ma:internalName="_Vers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73A97F-4CE2-44CE-A81D-5358BA3349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CD65E8-DA3B-4C1F-9E73-F0528031B38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453A778-F506-4207-917D-960EF084C2FE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C4FF9CED-22E1-4084-8733-5D92FFB0D2A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200fb119-eb52-4b14-8105-5afb3c90cb4b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3427A39D-24D5-4F29-A8A8-C886CB31B7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0fb119-eb52-4b14-8105-5afb3c90cb4b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Overview</vt:lpstr>
      <vt:lpstr>Results</vt:lpstr>
      <vt:lpstr>FCAS benefits</vt:lpstr>
      <vt:lpstr>Project costs</vt:lpstr>
      <vt:lpstr>Option 1</vt:lpstr>
      <vt:lpstr>Option 2</vt:lpstr>
      <vt:lpstr>Option 3</vt:lpstr>
      <vt:lpstr>Option 4</vt:lpstr>
      <vt:lpstr>Net eco benefits - Appendix 3</vt:lpstr>
      <vt:lpstr>Net eco benefits - Credible opt</vt:lpstr>
      <vt:lpstr>Results!_Ref24456989</vt:lpstr>
      <vt:lpstr>'Option 2'!NotSlowWACC</vt:lpstr>
      <vt:lpstr>'Option 3'!NotSlowWACC</vt:lpstr>
      <vt:lpstr>'Option 4'!NotSlowWACC</vt:lpstr>
      <vt:lpstr>NotSlowWACC</vt:lpstr>
      <vt:lpstr>'Option 2'!SlowWACC</vt:lpstr>
      <vt:lpstr>'Option 3'!SlowWACC</vt:lpstr>
      <vt:lpstr>'Option 4'!SlowWACC</vt:lpstr>
      <vt:lpstr>SlowWACC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Harding</dc:creator>
  <cp:lastModifiedBy>Prateek Beri</cp:lastModifiedBy>
  <cp:lastPrinted>2019-11-30T00:43:13Z</cp:lastPrinted>
  <dcterms:created xsi:type="dcterms:W3CDTF">2019-11-06T04:09:51Z</dcterms:created>
  <dcterms:modified xsi:type="dcterms:W3CDTF">2021-06-25T05:01:02Z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0x01010040455D106F859F468E6D452FBFEBB26800E54D1C6798218F48B9029ABA5949F88B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{bed8f96d-0f75-4c3d-baed-50b4a86a653e}</vt:lpwstr>
  </property>
  <property fmtid="{D5CDD505-2E9C-101B-9397-08002B2CF9AE}" pid="5" name="RecordPoint_ActiveItemListId">
    <vt:lpwstr>{6f96c9de-072c-4d01-b20e-5234c7bab483}</vt:lpwstr>
  </property>
  <property fmtid="{D5CDD505-2E9C-101B-9397-08002B2CF9AE}" pid="6" name="RecordPoint_ActiveItemUniqueId">
    <vt:lpwstr>{a2a3d465-bfc2-484f-b7e0-11b00b5317c1}</vt:lpwstr>
  </property>
  <property fmtid="{D5CDD505-2E9C-101B-9397-08002B2CF9AE}" pid="7" name="RecordPoint_ActiveItemWebId">
    <vt:lpwstr>{df930e5c-5eaa-41ac-aa83-59eb19ae5870}</vt:lpwstr>
  </property>
  <property fmtid="{D5CDD505-2E9C-101B-9397-08002B2CF9AE}" pid="8" name="RecordPoint_RecordNumberSubmitted">
    <vt:lpwstr>R0001921786</vt:lpwstr>
  </property>
  <property fmtid="{D5CDD505-2E9C-101B-9397-08002B2CF9AE}" pid="9" name="RecordPoint_SubmissionCompleted">
    <vt:lpwstr>2021-06-22T15:12:10.7000664+10:00</vt:lpwstr>
  </property>
  <property fmtid="{D5CDD505-2E9C-101B-9397-08002B2CF9AE}" pid="10" name="RecordPoint_SubmissionDate">
    <vt:lpwstr/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</Properties>
</file>